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00" yWindow="65366"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'Balance_sheet'!$C$6:$BO$39</definedName>
    <definedName name="Cash_flow">#REF!</definedName>
    <definedName name="fff">'[1]Balance_sheet'!$B$6:$G$40</definedName>
    <definedName name="Nøgle">'Key_ratios'!$C$6:$BO$17</definedName>
    <definedName name="Per_Share" localSheetId="7">'Dividends'!$C$6:$AA$15</definedName>
    <definedName name="Per_Share" localSheetId="2">'Highlights'!$C$6:$BQ$21</definedName>
    <definedName name="Per_Share" localSheetId="6">'Per_share_data'!$C$6:$Z$26</definedName>
    <definedName name="Per_Share">#REF!</definedName>
    <definedName name="PL_basis">'PL_basis'!$C$6:$BP$25</definedName>
    <definedName name="PL_legal">#REF!</definedName>
    <definedName name="_xlnm.Print_Area" localSheetId="4">'Balance_sheet'!$A$1:$AI$48</definedName>
    <definedName name="_xlnm.Print_Area" localSheetId="7">'Dividends'!$C$6:$AC$10</definedName>
    <definedName name="_xlnm.Print_Area" localSheetId="5">'Key_ratios'!$C$1:$AM$31</definedName>
    <definedName name="_xlnm.Print_Area" localSheetId="6">'Per_share_data'!$C$6:$Y$21</definedName>
    <definedName name="_xlnm.Print_Area" localSheetId="3">'PL_basis'!$A$1:$AN$42</definedName>
    <definedName name="Resultatopgørelse" localSheetId="4">'Balance_sheet'!$C$6:$BZ$26</definedName>
    <definedName name="Resultatopgørelse" localSheetId="7">'Dividends'!$C$6:$AN$19</definedName>
    <definedName name="Resultatopgørelse" localSheetId="2">'Highlights'!$C$6:$BQ$21</definedName>
    <definedName name="Resultatopgørelse" localSheetId="5">'Key_ratios'!$C$6:$BS$19</definedName>
    <definedName name="Resultatopgørelse" localSheetId="6">'Per_share_data'!$C$6:$AM$29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<sst xmlns="http://schemas.openxmlformats.org/spreadsheetml/2006/main" count="676" uniqueCount="334">
  <si>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</si>
  <si>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</si>
  <si>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</si>
  <si>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</si>
  <si>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</si>
  <si>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</si>
  <si>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</si>
  <si>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</si>
  <si>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</si>
  <si>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</si>
  <si>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</si>
  <si>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</si>
  <si>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</si>
  <si>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</si>
  <si>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</si>
  <si>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</si>
  <si>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</si>
  <si>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</si>
  <si>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</si>
  <si>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</si>
  <si>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</si>
  <si>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</si>
  <si>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</si>
  <si>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</si>
  <si>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</si>
  <si>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</si>
  <si>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</si>
  <si>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</si>
  <si>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</si>
  <si>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</si>
  <si>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</si>
  <si>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</si>
  <si>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</si>
  <si>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</si>
  <si>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</si>
  <si>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</si>
  <si>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</si>
  <si>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</si>
  <si>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</si>
  <si>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</si>
  <si>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</si>
  <si>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</si>
  <si>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</si>
  <si>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</si>
  <si>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</si>
  <si>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</si>
  <si>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</si>
  <si>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</si>
  <si>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</si>
  <si>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</si>
  <si>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</si>
  <si>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</si>
  <si>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</si>
  <si>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</si>
  <si>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</si>
  <si>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</si>
  <si>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</si>
  <si>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</si>
  <si>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</si>
  <si>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</si>
  <si>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</si>
  <si>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</si>
  <si>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</si>
  <si>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</si>
  <si>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</si>
  <si>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</si>
  <si>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</si>
  <si>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</si>
  <si>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</si>
  <si>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</si>
  <si>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</si>
  <si>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</si>
  <si>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</si>
  <si>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</si>
  <si>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</si>
  <si>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</si>
  <si>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</si>
  <si>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</si>
  <si>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</si>
  <si>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</si>
  <si>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</si>
  <si>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</si>
  <si>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</si>
  <si>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</si>
  <si>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</si>
  <si>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</si>
  <si>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</si>
  <si>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</si>
  <si>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</si>
  <si>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</si>
  <si>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</si>
  <si>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</si>
  <si>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</si>
  <si>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</si>
  <si>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</si>
  <si>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</si>
  <si>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</si>
  <si>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</si>
  <si>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</si>
  <si>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</si>
  <si>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</si>
  <si>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</si>
  <si>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</si>
  <si>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</si>
  <si>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</si>
  <si>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</si>
  <si>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</si>
  <si>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</si>
  <si>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</si>
  <si>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</si>
  <si>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</si>
  <si>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</si>
  <si>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</si>
  <si>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</si>
  <si>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</si>
  <si>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</si>
  <si>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</si>
  <si>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</si>
  <si>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</si>
  <si>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</si>
  <si>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</si>
  <si>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</si>
  <si>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</si>
  <si>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</si>
  <si>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</si>
  <si>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</si>
  <si>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</si>
  <si>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</si>
  <si>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</si>
  <si>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</si>
  <si>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</si>
  <si>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</si>
  <si>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</si>
  <si>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</si>
  <si>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</si>
  <si>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</si>
  <si>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</si>
  <si>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</si>
  <si>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</si>
  <si>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</si>
  <si>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</si>
  <si>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</si>
  <si>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</si>
  <si>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</si>
  <si>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</si>
  <si>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</si>
  <si>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</si>
  <si>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</si>
  <si>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</si>
  <si>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</si>
  <si>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</si>
  <si>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</si>
  <si>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</si>
  <si>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</si>
  <si>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</si>
  <si>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</si>
  <si>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</si>
  <si>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</si>
  <si>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</si>
  <si>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</si>
  <si>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</si>
  <si>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</si>
  <si>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</si>
  <si>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</si>
  <si>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</si>
  <si>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</si>
  <si>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</si>
  <si>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</si>
  <si>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</si>
  <si>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</si>
  <si>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</si>
  <si>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</si>
  <si>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</si>
  <si>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</si>
  <si>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</si>
  <si>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</si>
  <si>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</si>
  <si>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</si>
  <si>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</si>
  <si>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</si>
  <si>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</si>
  <si>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</si>
  <si>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</si>
  <si>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</si>
  <si>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</si>
  <si>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</si>
  <si>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</si>
  <si>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</si>
  <si>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</si>
  <si>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</si>
  <si>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</si>
  <si>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</si>
  <si>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</si>
  <si>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</si>
  <si>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</si>
  <si>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</si>
  <si>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</si>
  <si>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</si>
  <si>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</si>
  <si>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</si>
  <si>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</si>
  <si>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</si>
  <si>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</si>
  <si>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</si>
  <si>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</si>
  <si>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</si>
  <si>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</si>
  <si>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</si>
  <si>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</si>
  <si>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</si>
  <si>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</si>
  <si>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</si>
  <si>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</si>
  <si>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</si>
  <si>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</si>
  <si>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</si>
  <si>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</si>
  <si>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</si>
  <si>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</si>
  <si>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</si>
  <si>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</si>
  <si>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</si>
  <si>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</si>
  <si>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</si>
  <si>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</si>
  <si>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</si>
  <si>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</si>
  <si>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</si>
  <si>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</si>
  <si>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</si>
  <si>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</si>
  <si>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</si>
  <si>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</si>
  <si>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</si>
  <si>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</si>
  <si>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</si>
  <si>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</si>
  <si>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</si>
  <si>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</si>
  <si>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</si>
  <si>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</si>
  <si>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</si>
  <si>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</si>
  <si>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</si>
  <si>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</si>
  <si>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</si>
  <si>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</si>
  <si>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</si>
  <si>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</si>
  <si>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</si>
  <si>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</si>
  <si>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</si>
  <si>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</si>
  <si>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</si>
  <si>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</si>
  <si>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</si>
  <si>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</si>
  <si>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</si>
  <si>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</si>
  <si>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</si>
  <si>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</si>
  <si>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</si>
  <si>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</si>
  <si>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</si>
  <si>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</si>
  <si>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</si>
  <si>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</si>
  <si>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</si>
  <si>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</si>
  <si>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</si>
  <si>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</si>
  <si>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</si>
  <si>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</si>
  <si>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</si>
  <si>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</si>
  <si>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</si>
  <si>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</si>
  <si>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</si>
  <si>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</si>
  <si>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</si>
  <si>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</si>
  <si>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</si>
  <si>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</si>
  <si>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</si>
  <si>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</si>
  <si>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</si>
  <si>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</si>
  <si>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</si>
  <si>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</si>
  <si>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</si>
  <si>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</si>
  <si>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</si>
  <si>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</si>
  <si>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</si>
  <si>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</si>
  <si>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</si>
  <si>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</si>
  <si>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</si>
  <si>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</si>
  <si>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</si>
  <si>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Additional tier 1 ect.</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</si>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</sst>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s>
  <fonts count="55">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sz val="8"/>
      <name val="Segoe UI"/>
      <family val="2"/>
    </font>
    <font>
      <b/>
      <sz val="9"/>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7">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179"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179" fontId="9" fillId="35" borderId="0" xfId="42" applyFont="1" applyFill="1" applyBorder="1" applyAlignment="1">
      <alignment vertical="center"/>
    </xf>
    <xf numFmtId="179"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179"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179"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179"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179"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179"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179"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179"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179"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179" fontId="9" fillId="35" borderId="0" xfId="42" applyFont="1" applyFill="1" applyBorder="1" applyAlignment="1" applyProtection="1">
      <alignment vertical="center"/>
      <protection/>
    </xf>
    <xf numFmtId="179"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179"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179"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179"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179"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179" fontId="6" fillId="33" borderId="0" xfId="42" applyFont="1" applyFill="1" applyBorder="1" applyAlignment="1" applyProtection="1">
      <alignment/>
      <protection/>
    </xf>
    <xf numFmtId="179" fontId="10" fillId="33" borderId="0" xfId="42" applyFont="1" applyFill="1" applyBorder="1" applyAlignment="1" applyProtection="1">
      <alignment/>
      <protection hidden="1"/>
    </xf>
    <xf numFmtId="179"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179"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179"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179"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179"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179" fontId="9" fillId="33" borderId="0" xfId="42" applyFont="1" applyFill="1" applyBorder="1" applyAlignment="1">
      <alignment vertical="center"/>
    </xf>
    <xf numFmtId="179"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179"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179"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179"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179" fontId="9" fillId="35" borderId="20" xfId="42" applyFont="1" applyFill="1" applyBorder="1" applyAlignment="1">
      <alignment horizontal="center" vertical="center"/>
    </xf>
    <xf numFmtId="179" fontId="11" fillId="35" borderId="20" xfId="42" applyFont="1" applyFill="1" applyBorder="1" applyAlignment="1" applyProtection="1">
      <alignment vertical="center"/>
      <protection/>
    </xf>
    <xf numFmtId="179" fontId="9" fillId="35" borderId="20" xfId="42" applyFont="1" applyFill="1" applyBorder="1" applyAlignment="1" applyProtection="1">
      <alignment horizontal="center" vertical="center"/>
      <protection/>
    </xf>
    <xf numFmtId="179"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179"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179" fontId="9" fillId="35" borderId="27" xfId="42" applyFont="1" applyFill="1" applyBorder="1" applyAlignment="1">
      <alignment horizontal="center" vertical="center"/>
    </xf>
    <xf numFmtId="179" fontId="11" fillId="35" borderId="27" xfId="42" applyFont="1" applyFill="1" applyBorder="1" applyAlignment="1">
      <alignment vertical="center"/>
    </xf>
    <xf numFmtId="179"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179"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179"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179"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179"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179" fontId="9" fillId="35" borderId="31" xfId="42" applyFont="1" applyFill="1" applyBorder="1" applyAlignment="1">
      <alignment vertical="top"/>
    </xf>
    <xf numFmtId="197" fontId="7" fillId="33" borderId="0" xfId="42" applyNumberFormat="1" applyFont="1" applyFill="1" applyBorder="1" applyAlignment="1" applyProtection="1">
      <alignment/>
      <protection/>
    </xf>
    <xf numFmtId="179" fontId="7" fillId="33" borderId="30" xfId="42" applyFont="1" applyFill="1" applyBorder="1" applyAlignment="1">
      <alignment/>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179"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179"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4" fillId="36" borderId="19" xfId="42" applyNumberFormat="1" applyFont="1" applyFill="1" applyBorder="1" applyAlignment="1">
      <alignment/>
    </xf>
    <xf numFmtId="198" fontId="54"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179" fontId="6" fillId="33" borderId="16" xfId="42" applyFont="1" applyFill="1" applyBorder="1" applyAlignment="1" applyProtection="1">
      <alignment/>
      <protection/>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PageLayoutView="0" workbookViewId="0" topLeftCell="A1">
      <selection activeCell="A1" sqref="A1"/>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A1" sqref="A1"/>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Hovedtal</v>
      </c>
    </row>
    <row r="7" ht="11.25">
      <c r="D7" s="19" t="str">
        <f>PL_basis!$C$6</f>
        <v>Resultatopgørelse (mio. kr.)</v>
      </c>
    </row>
    <row r="9" ht="11.25">
      <c r="D9" s="19" t="str">
        <f>Balance_sheet!$C$6</f>
        <v>Balance (mio. kr.)</v>
      </c>
    </row>
    <row r="11" ht="11.25">
      <c r="D11" s="19" t="str">
        <f>+Key_ratios!C6</f>
        <v>Nøgletal</v>
      </c>
    </row>
    <row r="13" ht="11.25">
      <c r="D13" s="19" t="str">
        <f>+Per_share_data!C6</f>
        <v>Aktiedata</v>
      </c>
    </row>
    <row r="15" ht="11.25">
      <c r="D15" s="19" t="str">
        <f>+Dividends!C6</f>
        <v>Udbytte</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BQ35"/>
  <sheetViews>
    <sheetView zoomScalePageLayoutView="0" workbookViewId="0" topLeftCell="C1">
      <selection activeCell="C1" sqref="C1"/>
    </sheetView>
  </sheetViews>
  <sheetFormatPr defaultColWidth="15.00390625" defaultRowHeight="15" customHeight="1"/>
  <cols>
    <col min="1" max="1" width="51.140625" style="25" hidden="1" customWidth="1"/>
    <col min="2" max="2" width="48.57421875" style="25" hidden="1" customWidth="1"/>
    <col min="3" max="3" width="53.8515625" style="20" customWidth="1"/>
    <col min="4" max="17" width="19.57421875" style="20" customWidth="1"/>
    <col min="18" max="51" width="15.7109375" style="20" customWidth="1"/>
    <col min="52" max="52" width="15.421875" style="20" customWidth="1"/>
    <col min="53" max="16384" width="15.00390625" style="20" customWidth="1"/>
  </cols>
  <sheetData>
    <row r="1" spans="1:3" ht="15" customHeight="1">
      <c r="A1" s="23" t="s">
        <v>102</v>
      </c>
      <c r="B1" s="24">
        <v>1</v>
      </c>
      <c r="C1" s="20" t="s">
        <v>160</v>
      </c>
    </row>
    <row r="2" spans="1:55" ht="15" customHeight="1">
      <c r="A2" s="25" t="s">
        <v>27</v>
      </c>
      <c r="B2" s="25" t="s">
        <v>13</v>
      </c>
      <c r="C2" s="26" t="str">
        <f>IF($B$1=1,B2,A2)</f>
        <v>Arket indeholder følgende information:</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row>
    <row r="3" ht="15" customHeight="1">
      <c r="B3" s="25" t="s">
        <v>25</v>
      </c>
    </row>
    <row r="4" ht="15" customHeight="1">
      <c r="B4" s="25" t="s">
        <v>26</v>
      </c>
    </row>
    <row r="6" spans="1:69" ht="15" customHeight="1">
      <c r="A6" s="27" t="s">
        <v>99</v>
      </c>
      <c r="B6" s="25" t="s">
        <v>98</v>
      </c>
      <c r="C6" s="26" t="str">
        <f>IF($B$1=1,B6,A6)</f>
        <v>Hovedtal</v>
      </c>
      <c r="D6" s="187" t="s">
        <v>332</v>
      </c>
      <c r="E6" s="187" t="s">
        <v>331</v>
      </c>
      <c r="F6" s="187" t="s">
        <v>330</v>
      </c>
      <c r="G6" s="187" t="s">
        <v>329</v>
      </c>
      <c r="H6" s="187" t="s">
        <v>328</v>
      </c>
      <c r="I6" s="187" t="s">
        <v>327</v>
      </c>
      <c r="J6" s="187" t="s">
        <v>324</v>
      </c>
      <c r="K6" s="187" t="s">
        <v>319</v>
      </c>
      <c r="L6" s="187" t="s">
        <v>318</v>
      </c>
      <c r="M6" s="187" t="s">
        <v>317</v>
      </c>
      <c r="N6" s="187" t="s">
        <v>316</v>
      </c>
      <c r="O6" s="187" t="s">
        <v>314</v>
      </c>
      <c r="P6" s="187" t="s">
        <v>313</v>
      </c>
      <c r="Q6" s="187" t="s">
        <v>312</v>
      </c>
      <c r="R6" s="187" t="s">
        <v>311</v>
      </c>
      <c r="S6" s="187" t="s">
        <v>309</v>
      </c>
      <c r="T6" s="187" t="s">
        <v>307</v>
      </c>
      <c r="U6" s="187" t="s">
        <v>306</v>
      </c>
      <c r="V6" s="187" t="s">
        <v>305</v>
      </c>
      <c r="W6" s="187" t="s">
        <v>304</v>
      </c>
      <c r="X6" s="187" t="s">
        <v>302</v>
      </c>
      <c r="Y6" s="187" t="s">
        <v>299</v>
      </c>
      <c r="Z6" s="187" t="s">
        <v>298</v>
      </c>
      <c r="AA6" s="187" t="s">
        <v>297</v>
      </c>
      <c r="AB6" s="187" t="s">
        <v>295</v>
      </c>
      <c r="AC6" s="187" t="s">
        <v>294</v>
      </c>
      <c r="AD6" s="187" t="s">
        <v>292</v>
      </c>
      <c r="AE6" s="187" t="s">
        <v>281</v>
      </c>
      <c r="AF6" s="187" t="s">
        <v>280</v>
      </c>
      <c r="AG6" s="187" t="s">
        <v>279</v>
      </c>
      <c r="AH6" s="187" t="s">
        <v>278</v>
      </c>
      <c r="AI6" s="187" t="s">
        <v>277</v>
      </c>
      <c r="AJ6" s="187" t="s">
        <v>274</v>
      </c>
      <c r="AK6" s="187" t="s">
        <v>271</v>
      </c>
      <c r="AL6" s="187" t="s">
        <v>266</v>
      </c>
      <c r="AM6" s="187" t="s">
        <v>264</v>
      </c>
      <c r="AN6" s="187" t="s">
        <v>261</v>
      </c>
      <c r="AO6" s="187" t="s">
        <v>259</v>
      </c>
      <c r="AP6" s="187" t="s">
        <v>258</v>
      </c>
      <c r="AQ6" s="187" t="s">
        <v>257</v>
      </c>
      <c r="AR6" s="187" t="s">
        <v>240</v>
      </c>
      <c r="AS6" s="187" t="s">
        <v>219</v>
      </c>
      <c r="AT6" s="187" t="s">
        <v>217</v>
      </c>
      <c r="AU6" s="187" t="s">
        <v>216</v>
      </c>
      <c r="AV6" s="187" t="s">
        <v>176</v>
      </c>
      <c r="AW6" s="187" t="s">
        <v>174</v>
      </c>
      <c r="AX6" s="187" t="s">
        <v>173</v>
      </c>
      <c r="AY6" s="187" t="s">
        <v>172</v>
      </c>
      <c r="AZ6" s="208" t="s">
        <v>170</v>
      </c>
      <c r="BA6" s="200" t="s">
        <v>169</v>
      </c>
      <c r="BB6" s="200" t="s">
        <v>168</v>
      </c>
      <c r="BC6" s="200" t="s">
        <v>163</v>
      </c>
      <c r="BD6" s="187" t="s">
        <v>161</v>
      </c>
      <c r="BE6" s="172" t="s">
        <v>159</v>
      </c>
      <c r="BF6" s="28" t="s">
        <v>158</v>
      </c>
      <c r="BG6" s="28" t="s">
        <v>157</v>
      </c>
      <c r="BH6" s="28">
        <v>2005</v>
      </c>
      <c r="BI6" s="28" t="s">
        <v>148</v>
      </c>
      <c r="BJ6" s="28" t="s">
        <v>147</v>
      </c>
      <c r="BK6" s="28" t="s">
        <v>146</v>
      </c>
      <c r="BL6" s="28" t="s">
        <v>109</v>
      </c>
      <c r="BM6" s="28">
        <v>2004</v>
      </c>
      <c r="BN6" s="28" t="s">
        <v>105</v>
      </c>
      <c r="BO6" s="28" t="s">
        <v>104</v>
      </c>
      <c r="BP6" s="28" t="s">
        <v>103</v>
      </c>
      <c r="BQ6" s="28" t="s">
        <v>101</v>
      </c>
    </row>
    <row r="7" spans="1:69" s="32" customFormat="1" ht="15" customHeight="1">
      <c r="A7" s="29"/>
      <c r="B7" s="29"/>
      <c r="C7" s="30"/>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209"/>
      <c r="BA7" s="201"/>
      <c r="BB7" s="201"/>
      <c r="BC7" s="201"/>
      <c r="BD7" s="173"/>
      <c r="BE7" s="173"/>
      <c r="BF7" s="31"/>
      <c r="BG7" s="31"/>
      <c r="BH7" s="31"/>
      <c r="BI7" s="31"/>
      <c r="BJ7" s="31"/>
      <c r="BK7" s="31"/>
      <c r="BL7" s="31"/>
      <c r="BM7" s="31"/>
      <c r="BN7" s="31"/>
      <c r="BO7" s="31"/>
      <c r="BP7" s="31"/>
      <c r="BQ7" s="31"/>
    </row>
    <row r="8" spans="1:69" s="21" customFormat="1" ht="15" customHeight="1">
      <c r="A8" s="25" t="s">
        <v>222</v>
      </c>
      <c r="B8" s="25" t="s">
        <v>220</v>
      </c>
      <c r="C8" s="33" t="str">
        <f>IF($B$1=1,B8,A8)</f>
        <v>Indtægter i alt (mio. kr.)</v>
      </c>
      <c r="D8" s="256">
        <v>12153</v>
      </c>
      <c r="E8" s="256">
        <v>10495</v>
      </c>
      <c r="F8" s="256">
        <v>11532</v>
      </c>
      <c r="G8" s="256">
        <v>10802</v>
      </c>
      <c r="H8" s="256">
        <v>10931</v>
      </c>
      <c r="I8" s="256">
        <v>11100</v>
      </c>
      <c r="J8" s="256">
        <v>10881</v>
      </c>
      <c r="K8" s="256">
        <v>11452</v>
      </c>
      <c r="L8" s="256">
        <v>12219</v>
      </c>
      <c r="M8" s="256">
        <v>11544</v>
      </c>
      <c r="N8" s="256">
        <v>11736</v>
      </c>
      <c r="O8" s="256">
        <v>12649</v>
      </c>
      <c r="P8" s="256">
        <v>12902</v>
      </c>
      <c r="Q8" s="256">
        <v>12044</v>
      </c>
      <c r="R8" s="256">
        <v>11543</v>
      </c>
      <c r="S8" s="256">
        <v>11469</v>
      </c>
      <c r="T8" s="256">
        <v>11588</v>
      </c>
      <c r="U8" s="256">
        <v>10184</v>
      </c>
      <c r="V8" s="256">
        <v>11304</v>
      </c>
      <c r="W8" s="256">
        <v>12535</v>
      </c>
      <c r="X8" s="256">
        <v>11267</v>
      </c>
      <c r="Y8" s="256">
        <v>10936</v>
      </c>
      <c r="Z8" s="256">
        <v>11516</v>
      </c>
      <c r="AA8" s="256">
        <v>10281</v>
      </c>
      <c r="AB8" s="243">
        <v>10784</v>
      </c>
      <c r="AC8" s="243">
        <v>9049</v>
      </c>
      <c r="AD8" s="243">
        <v>9830</v>
      </c>
      <c r="AE8" s="243">
        <v>10077</v>
      </c>
      <c r="AF8" s="243">
        <v>11445</v>
      </c>
      <c r="AG8" s="243">
        <v>10767</v>
      </c>
      <c r="AH8" s="243">
        <v>11665</v>
      </c>
      <c r="AI8" s="243">
        <v>11785</v>
      </c>
      <c r="AJ8" s="243">
        <v>11863</v>
      </c>
      <c r="AK8" s="243">
        <v>8311</v>
      </c>
      <c r="AL8" s="213">
        <v>11512</v>
      </c>
      <c r="AM8" s="226">
        <v>11691</v>
      </c>
      <c r="AN8" s="226">
        <v>10887</v>
      </c>
      <c r="AO8" s="217">
        <v>11247</v>
      </c>
      <c r="AP8" s="36">
        <v>12056</v>
      </c>
      <c r="AQ8" s="36">
        <v>12087</v>
      </c>
      <c r="AR8" s="36">
        <v>13454</v>
      </c>
      <c r="AS8" s="36">
        <v>13602</v>
      </c>
      <c r="AT8" s="36">
        <v>15076</v>
      </c>
      <c r="AU8" s="36">
        <v>17207</v>
      </c>
      <c r="AV8" s="36">
        <v>12036</v>
      </c>
      <c r="AW8" s="36">
        <v>9186</v>
      </c>
      <c r="AX8" s="36">
        <v>11542</v>
      </c>
      <c r="AY8" s="36">
        <v>10279</v>
      </c>
      <c r="AZ8" s="174">
        <v>11224</v>
      </c>
      <c r="BA8" s="174">
        <v>11242</v>
      </c>
      <c r="BB8" s="174">
        <v>11614</v>
      </c>
      <c r="BC8" s="174">
        <v>10983</v>
      </c>
      <c r="BD8" s="174">
        <v>10051</v>
      </c>
      <c r="BE8" s="174">
        <v>9645</v>
      </c>
      <c r="BF8" s="34">
        <v>8667</v>
      </c>
      <c r="BG8" s="34">
        <v>9123</v>
      </c>
      <c r="BH8" s="34">
        <v>34708</v>
      </c>
      <c r="BI8" s="34">
        <v>9169</v>
      </c>
      <c r="BJ8" s="34">
        <v>8770</v>
      </c>
      <c r="BK8" s="34">
        <v>8730</v>
      </c>
      <c r="BL8" s="34">
        <v>8039</v>
      </c>
      <c r="BM8" s="34">
        <v>29187</v>
      </c>
      <c r="BN8" s="34">
        <v>8511</v>
      </c>
      <c r="BO8" s="34">
        <v>6716</v>
      </c>
      <c r="BP8" s="34">
        <v>6643</v>
      </c>
      <c r="BQ8" s="34">
        <v>7317</v>
      </c>
    </row>
    <row r="9" spans="1:69" ht="15" customHeight="1">
      <c r="A9" s="25" t="s">
        <v>241</v>
      </c>
      <c r="B9" s="25" t="s">
        <v>242</v>
      </c>
      <c r="C9" s="33" t="str">
        <f>IF($B$1=1,B9,A9)</f>
        <v>Omkostninger (mio. kr.)</v>
      </c>
      <c r="D9" s="256">
        <v>8342</v>
      </c>
      <c r="E9" s="256">
        <v>6382</v>
      </c>
      <c r="F9" s="256">
        <v>6679</v>
      </c>
      <c r="G9" s="256">
        <v>6145</v>
      </c>
      <c r="H9" s="256">
        <v>6243</v>
      </c>
      <c r="I9" s="256">
        <v>7367</v>
      </c>
      <c r="J9" s="256">
        <v>5788</v>
      </c>
      <c r="K9" s="256">
        <v>5612</v>
      </c>
      <c r="L9" s="256">
        <v>5757</v>
      </c>
      <c r="M9" s="256">
        <v>5480</v>
      </c>
      <c r="N9" s="256">
        <v>5760</v>
      </c>
      <c r="O9" s="256">
        <v>5724</v>
      </c>
      <c r="P9" s="256">
        <v>6056</v>
      </c>
      <c r="Q9" s="256">
        <v>5471</v>
      </c>
      <c r="R9" s="256">
        <v>5805</v>
      </c>
      <c r="S9" s="256">
        <v>5310</v>
      </c>
      <c r="T9" s="256">
        <v>6273</v>
      </c>
      <c r="U9" s="256">
        <v>5554</v>
      </c>
      <c r="V9" s="256">
        <v>5649</v>
      </c>
      <c r="W9" s="256">
        <v>5761</v>
      </c>
      <c r="X9" s="256">
        <v>6090</v>
      </c>
      <c r="Y9" s="256">
        <v>5530</v>
      </c>
      <c r="Z9" s="256">
        <v>5589</v>
      </c>
      <c r="AA9" s="256">
        <v>5432</v>
      </c>
      <c r="AB9" s="243">
        <v>6587</v>
      </c>
      <c r="AC9" s="243">
        <v>5460</v>
      </c>
      <c r="AD9" s="243">
        <v>5804</v>
      </c>
      <c r="AE9" s="243">
        <v>5905</v>
      </c>
      <c r="AF9" s="243">
        <v>6591</v>
      </c>
      <c r="AG9" s="243">
        <v>5680</v>
      </c>
      <c r="AH9" s="243">
        <v>6047</v>
      </c>
      <c r="AI9" s="243">
        <v>6324</v>
      </c>
      <c r="AJ9" s="243">
        <v>6459</v>
      </c>
      <c r="AK9" s="243">
        <v>5499</v>
      </c>
      <c r="AL9" s="213">
        <v>6678</v>
      </c>
      <c r="AM9" s="226">
        <v>7351</v>
      </c>
      <c r="AN9" s="226">
        <v>6457</v>
      </c>
      <c r="AO9" s="217">
        <v>6294</v>
      </c>
      <c r="AP9" s="36">
        <v>6836</v>
      </c>
      <c r="AQ9" s="36">
        <v>6423</v>
      </c>
      <c r="AR9" s="36">
        <v>7184</v>
      </c>
      <c r="AS9" s="36">
        <v>6338</v>
      </c>
      <c r="AT9" s="36">
        <v>8489</v>
      </c>
      <c r="AU9" s="36">
        <v>6896</v>
      </c>
      <c r="AV9" s="36">
        <v>9964</v>
      </c>
      <c r="AW9" s="36">
        <v>5829</v>
      </c>
      <c r="AX9" s="36">
        <v>6610</v>
      </c>
      <c r="AY9" s="36">
        <v>6323</v>
      </c>
      <c r="AZ9" s="174">
        <v>6574</v>
      </c>
      <c r="BA9" s="174">
        <v>5966</v>
      </c>
      <c r="BB9" s="174">
        <v>6663</v>
      </c>
      <c r="BC9" s="174">
        <v>5867</v>
      </c>
      <c r="BD9" s="174">
        <v>5104</v>
      </c>
      <c r="BE9" s="174">
        <v>4642</v>
      </c>
      <c r="BF9" s="34">
        <v>4868</v>
      </c>
      <c r="BG9" s="34">
        <v>4871</v>
      </c>
      <c r="BH9" s="34">
        <v>18198</v>
      </c>
      <c r="BI9" s="34">
        <v>4960</v>
      </c>
      <c r="BJ9" s="34">
        <v>4580</v>
      </c>
      <c r="BK9" s="34">
        <v>4700</v>
      </c>
      <c r="BL9" s="34">
        <v>3958</v>
      </c>
      <c r="BM9" s="34">
        <v>15393</v>
      </c>
      <c r="BN9" s="34">
        <v>4370</v>
      </c>
      <c r="BO9" s="34">
        <v>3486</v>
      </c>
      <c r="BP9" s="34">
        <v>3744</v>
      </c>
      <c r="BQ9" s="34">
        <v>3793</v>
      </c>
    </row>
    <row r="10" spans="1:69" ht="15" customHeight="1">
      <c r="A10" s="25" t="s">
        <v>223</v>
      </c>
      <c r="B10" s="25" t="s">
        <v>175</v>
      </c>
      <c r="C10" s="33" t="str">
        <f>IF($B$1=1,B10,A10)</f>
        <v>Nedskrivninger på udlån (mio. kr.)</v>
      </c>
      <c r="D10" s="256">
        <v>703</v>
      </c>
      <c r="E10" s="256">
        <v>343</v>
      </c>
      <c r="F10" s="256">
        <v>113</v>
      </c>
      <c r="G10" s="256">
        <v>357</v>
      </c>
      <c r="H10" s="256">
        <v>-43</v>
      </c>
      <c r="I10" s="256">
        <v>100</v>
      </c>
      <c r="J10" s="256">
        <v>-377</v>
      </c>
      <c r="K10" s="256">
        <v>-330</v>
      </c>
      <c r="L10" s="256">
        <v>-241</v>
      </c>
      <c r="M10" s="256">
        <v>-166</v>
      </c>
      <c r="N10" s="256">
        <v>-231</v>
      </c>
      <c r="O10" s="256">
        <v>-235</v>
      </c>
      <c r="P10" s="256">
        <v>-160</v>
      </c>
      <c r="Q10" s="256">
        <v>264</v>
      </c>
      <c r="R10" s="256">
        <v>22</v>
      </c>
      <c r="S10" s="256">
        <v>-130</v>
      </c>
      <c r="T10" s="256">
        <v>-139</v>
      </c>
      <c r="U10" s="256">
        <v>-86</v>
      </c>
      <c r="V10" s="256">
        <v>-219</v>
      </c>
      <c r="W10" s="256">
        <v>502</v>
      </c>
      <c r="X10" s="256">
        <v>853</v>
      </c>
      <c r="Y10" s="256">
        <v>668</v>
      </c>
      <c r="Z10" s="256">
        <v>626</v>
      </c>
      <c r="AA10" s="256">
        <v>641</v>
      </c>
      <c r="AB10" s="243">
        <v>916</v>
      </c>
      <c r="AC10" s="243">
        <v>944</v>
      </c>
      <c r="AD10" s="243">
        <v>813</v>
      </c>
      <c r="AE10" s="243">
        <v>1438</v>
      </c>
      <c r="AF10" s="243">
        <v>1420</v>
      </c>
      <c r="AG10" s="243">
        <v>1662</v>
      </c>
      <c r="AH10" s="243">
        <v>1685</v>
      </c>
      <c r="AI10" s="243">
        <v>2913</v>
      </c>
      <c r="AJ10" s="243">
        <v>4789</v>
      </c>
      <c r="AK10" s="243">
        <v>2802</v>
      </c>
      <c r="AL10" s="213">
        <v>2753</v>
      </c>
      <c r="AM10" s="226">
        <v>2841</v>
      </c>
      <c r="AN10" s="226">
        <v>2982</v>
      </c>
      <c r="AO10" s="217">
        <v>3083</v>
      </c>
      <c r="AP10" s="36">
        <v>3479</v>
      </c>
      <c r="AQ10" s="36">
        <v>4273</v>
      </c>
      <c r="AR10" s="36">
        <v>4982</v>
      </c>
      <c r="AS10" s="36">
        <v>6164</v>
      </c>
      <c r="AT10" s="36">
        <v>6550</v>
      </c>
      <c r="AU10" s="36">
        <v>7981</v>
      </c>
      <c r="AV10" s="36">
        <v>9199</v>
      </c>
      <c r="AW10" s="36">
        <v>1775</v>
      </c>
      <c r="AX10" s="36">
        <v>572</v>
      </c>
      <c r="AY10" s="36">
        <v>542</v>
      </c>
      <c r="AZ10" s="174">
        <v>427</v>
      </c>
      <c r="BA10" s="34">
        <v>255</v>
      </c>
      <c r="BB10" s="34">
        <v>183</v>
      </c>
      <c r="BC10" s="34">
        <v>-178</v>
      </c>
      <c r="BD10" s="174">
        <v>58</v>
      </c>
      <c r="BE10" s="174">
        <v>-111</v>
      </c>
      <c r="BF10" s="34">
        <v>-314</v>
      </c>
      <c r="BG10" s="34">
        <v>-129</v>
      </c>
      <c r="BH10" s="34">
        <v>-1096</v>
      </c>
      <c r="BI10" s="34">
        <v>-808</v>
      </c>
      <c r="BJ10" s="34">
        <v>-63</v>
      </c>
      <c r="BK10" s="34">
        <v>-99</v>
      </c>
      <c r="BL10" s="34">
        <v>-126</v>
      </c>
      <c r="BM10" s="34">
        <v>759</v>
      </c>
      <c r="BN10" s="34">
        <v>-75</v>
      </c>
      <c r="BO10" s="34">
        <v>213</v>
      </c>
      <c r="BP10" s="34">
        <v>291</v>
      </c>
      <c r="BQ10" s="34">
        <v>330</v>
      </c>
    </row>
    <row r="11" spans="1:69" ht="15" customHeight="1">
      <c r="A11" s="25" t="s">
        <v>224</v>
      </c>
      <c r="B11" s="25" t="s">
        <v>84</v>
      </c>
      <c r="C11" s="33" t="str">
        <f>IF($B$1=1,B11,A11)</f>
        <v>Periodens resultat efter skat (mio. kr.)</v>
      </c>
      <c r="D11" s="256">
        <v>5041</v>
      </c>
      <c r="E11" s="256">
        <v>3011</v>
      </c>
      <c r="F11" s="256">
        <v>4031</v>
      </c>
      <c r="G11" s="256">
        <v>2988</v>
      </c>
      <c r="H11" s="256">
        <v>3415</v>
      </c>
      <c r="I11" s="256">
        <v>2482</v>
      </c>
      <c r="J11" s="256">
        <v>4231</v>
      </c>
      <c r="K11" s="256">
        <v>4873</v>
      </c>
      <c r="L11" s="256">
        <v>5649</v>
      </c>
      <c r="M11" s="256">
        <v>4931</v>
      </c>
      <c r="N11" s="256">
        <v>4790</v>
      </c>
      <c r="O11" s="256">
        <v>5530</v>
      </c>
      <c r="P11" s="256">
        <v>5590</v>
      </c>
      <c r="Q11" s="256">
        <v>4905</v>
      </c>
      <c r="R11" s="256">
        <v>4418</v>
      </c>
      <c r="S11" s="256">
        <v>4945</v>
      </c>
      <c r="T11" s="256">
        <v>35</v>
      </c>
      <c r="U11" s="256">
        <v>3668</v>
      </c>
      <c r="V11" s="256">
        <v>4468</v>
      </c>
      <c r="W11" s="256">
        <v>4951</v>
      </c>
      <c r="X11" s="256">
        <v>-6250</v>
      </c>
      <c r="Y11" s="256">
        <v>3274</v>
      </c>
      <c r="Z11" s="256">
        <v>4153</v>
      </c>
      <c r="AA11" s="256">
        <v>2771</v>
      </c>
      <c r="AB11" s="243">
        <v>1923</v>
      </c>
      <c r="AC11" s="243">
        <v>1535</v>
      </c>
      <c r="AD11" s="243">
        <v>2184</v>
      </c>
      <c r="AE11" s="243">
        <v>1472</v>
      </c>
      <c r="AF11" s="243">
        <v>1145</v>
      </c>
      <c r="AG11" s="243">
        <v>1308</v>
      </c>
      <c r="AH11" s="243">
        <v>1495</v>
      </c>
      <c r="AI11" s="243">
        <v>778</v>
      </c>
      <c r="AJ11" s="243">
        <v>201</v>
      </c>
      <c r="AK11" s="243">
        <v>-384</v>
      </c>
      <c r="AL11" s="213">
        <v>1200</v>
      </c>
      <c r="AM11" s="226">
        <v>707</v>
      </c>
      <c r="AN11" s="226">
        <v>1071</v>
      </c>
      <c r="AO11" s="217">
        <v>887</v>
      </c>
      <c r="AP11" s="36">
        <v>937</v>
      </c>
      <c r="AQ11" s="36">
        <v>769</v>
      </c>
      <c r="AR11" s="36">
        <v>405</v>
      </c>
      <c r="AS11" s="36">
        <v>583</v>
      </c>
      <c r="AT11" s="36">
        <v>-828</v>
      </c>
      <c r="AU11" s="36">
        <v>1553</v>
      </c>
      <c r="AV11" s="36">
        <v>-5885</v>
      </c>
      <c r="AW11" s="36">
        <v>1114</v>
      </c>
      <c r="AX11" s="36">
        <v>3240</v>
      </c>
      <c r="AY11" s="36">
        <v>2567</v>
      </c>
      <c r="AZ11" s="174">
        <v>3564</v>
      </c>
      <c r="BA11" s="174">
        <v>3677</v>
      </c>
      <c r="BB11" s="174">
        <v>3807</v>
      </c>
      <c r="BC11" s="174">
        <v>3822</v>
      </c>
      <c r="BD11" s="174">
        <v>3760</v>
      </c>
      <c r="BE11" s="174">
        <v>3698</v>
      </c>
      <c r="BF11" s="34">
        <v>2956</v>
      </c>
      <c r="BG11" s="34">
        <v>3131</v>
      </c>
      <c r="BH11" s="34">
        <v>12685</v>
      </c>
      <c r="BI11" s="34">
        <v>3734</v>
      </c>
      <c r="BJ11" s="34">
        <v>2967</v>
      </c>
      <c r="BK11" s="34">
        <v>3000</v>
      </c>
      <c r="BL11" s="34">
        <v>2984</v>
      </c>
      <c r="BM11" s="34">
        <v>9317</v>
      </c>
      <c r="BN11" s="34">
        <v>3044</v>
      </c>
      <c r="BO11" s="34">
        <v>2213</v>
      </c>
      <c r="BP11" s="34">
        <v>1822</v>
      </c>
      <c r="BQ11" s="34">
        <v>2238</v>
      </c>
    </row>
    <row r="12" spans="4:69" ht="15" customHeight="1">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43"/>
      <c r="AC12" s="243"/>
      <c r="AD12" s="243"/>
      <c r="AE12" s="243"/>
      <c r="AF12" s="243"/>
      <c r="AG12" s="243"/>
      <c r="AH12" s="243"/>
      <c r="AI12" s="243"/>
      <c r="AJ12" s="243"/>
      <c r="AK12" s="243"/>
      <c r="AL12" s="213"/>
      <c r="AM12" s="226"/>
      <c r="AN12" s="227"/>
      <c r="AP12" s="34"/>
      <c r="AQ12" s="34"/>
      <c r="AR12" s="34"/>
      <c r="AS12" s="34"/>
      <c r="AT12" s="34"/>
      <c r="AU12" s="34"/>
      <c r="AV12" s="34"/>
      <c r="AW12" s="34"/>
      <c r="AX12" s="34"/>
      <c r="AY12" s="34"/>
      <c r="AZ12" s="175"/>
      <c r="BA12" s="199"/>
      <c r="BB12" s="199"/>
      <c r="BC12" s="199"/>
      <c r="BD12" s="175"/>
      <c r="BE12" s="175"/>
      <c r="BF12" s="35"/>
      <c r="BG12" s="35"/>
      <c r="BH12" s="35"/>
      <c r="BI12" s="35"/>
      <c r="BJ12" s="35"/>
      <c r="BK12" s="35"/>
      <c r="BL12" s="35"/>
      <c r="BN12" s="35"/>
      <c r="BP12" s="35"/>
      <c r="BQ12" s="35"/>
    </row>
    <row r="13" spans="1:69" ht="15" customHeight="1">
      <c r="A13" s="27" t="s">
        <v>267</v>
      </c>
      <c r="B13" s="27" t="s">
        <v>268</v>
      </c>
      <c r="C13" s="33" t="str">
        <f>IF($B$1=1,B13,A13)</f>
        <v>Udlån til amortiseret kostpris (mia. kr.)</v>
      </c>
      <c r="D13" s="256">
        <v>1028.011</v>
      </c>
      <c r="E13" s="256">
        <v>1018.773</v>
      </c>
      <c r="F13" s="256">
        <v>1014.937</v>
      </c>
      <c r="G13" s="256">
        <v>1004.334</v>
      </c>
      <c r="H13" s="256">
        <v>986.24</v>
      </c>
      <c r="I13" s="256">
        <v>978.399</v>
      </c>
      <c r="J13" s="256">
        <v>972</v>
      </c>
      <c r="K13" s="256">
        <v>955.335</v>
      </c>
      <c r="L13" s="256">
        <v>1112.752</v>
      </c>
      <c r="M13" s="256">
        <v>1143.833</v>
      </c>
      <c r="N13" s="256">
        <v>1136.847</v>
      </c>
      <c r="O13" s="256">
        <v>1145.705</v>
      </c>
      <c r="P13" s="256">
        <v>1141.567</v>
      </c>
      <c r="Q13" s="256">
        <v>1127.393</v>
      </c>
      <c r="R13" s="256">
        <v>1141.99</v>
      </c>
      <c r="S13" s="256">
        <v>1131.658</v>
      </c>
      <c r="T13" s="256">
        <v>1079.257</v>
      </c>
      <c r="U13" s="256">
        <v>1072.7</v>
      </c>
      <c r="V13" s="256">
        <v>1068.246</v>
      </c>
      <c r="W13" s="256">
        <v>1113.192</v>
      </c>
      <c r="X13" s="256">
        <v>1092.902</v>
      </c>
      <c r="Y13" s="256">
        <v>1091.964</v>
      </c>
      <c r="Z13" s="256">
        <v>1084.773</v>
      </c>
      <c r="AA13" s="256">
        <v>1094.602</v>
      </c>
      <c r="AB13" s="243">
        <v>1088.728</v>
      </c>
      <c r="AC13" s="243">
        <v>1122.988</v>
      </c>
      <c r="AD13" s="243">
        <v>1152.056</v>
      </c>
      <c r="AE13" s="243">
        <v>1169.599</v>
      </c>
      <c r="AF13" s="243">
        <v>1161.816</v>
      </c>
      <c r="AG13" s="243">
        <v>1207.499</v>
      </c>
      <c r="AH13" s="243">
        <v>1242.364</v>
      </c>
      <c r="AI13" s="243">
        <v>1205.235</v>
      </c>
      <c r="AJ13" s="243">
        <v>1126.482</v>
      </c>
      <c r="AK13" s="243">
        <v>1135</v>
      </c>
      <c r="AL13" s="213">
        <v>1168</v>
      </c>
      <c r="AM13" s="226">
        <v>1149</v>
      </c>
      <c r="AN13" s="226">
        <v>1147</v>
      </c>
      <c r="AO13" s="217">
        <v>1138</v>
      </c>
      <c r="AP13" s="36">
        <v>1178</v>
      </c>
      <c r="AQ13" s="36">
        <v>1150</v>
      </c>
      <c r="AR13" s="36">
        <v>1127</v>
      </c>
      <c r="AS13" s="36">
        <v>1188</v>
      </c>
      <c r="AT13" s="36">
        <v>1215</v>
      </c>
      <c r="AU13" s="36">
        <v>1275</v>
      </c>
      <c r="AV13" s="36">
        <v>1352</v>
      </c>
      <c r="AW13" s="36">
        <v>1400</v>
      </c>
      <c r="AX13" s="36">
        <v>1361</v>
      </c>
      <c r="AY13" s="36">
        <v>1355</v>
      </c>
      <c r="AZ13" s="174">
        <v>1360</v>
      </c>
      <c r="BA13" s="174">
        <v>1330</v>
      </c>
      <c r="BB13" s="174">
        <v>1285</v>
      </c>
      <c r="BC13" s="174">
        <v>1228</v>
      </c>
      <c r="BD13" s="174">
        <v>1054</v>
      </c>
      <c r="BE13" s="174">
        <v>1008</v>
      </c>
      <c r="BF13" s="34">
        <v>973</v>
      </c>
      <c r="BG13" s="34">
        <v>861</v>
      </c>
      <c r="BH13" s="34">
        <v>830</v>
      </c>
      <c r="BI13" s="34">
        <v>830</v>
      </c>
      <c r="BJ13" s="34">
        <v>825</v>
      </c>
      <c r="BK13" s="34">
        <v>767</v>
      </c>
      <c r="BL13" s="34">
        <v>739</v>
      </c>
      <c r="BM13" s="34">
        <v>615</v>
      </c>
      <c r="BN13" s="34">
        <v>615</v>
      </c>
      <c r="BO13" s="34">
        <v>614</v>
      </c>
      <c r="BP13" s="34">
        <v>586</v>
      </c>
      <c r="BQ13" s="34">
        <v>567</v>
      </c>
    </row>
    <row r="14" spans="1:69" ht="15" customHeight="1">
      <c r="A14" s="27" t="s">
        <v>225</v>
      </c>
      <c r="B14" s="27" t="s">
        <v>218</v>
      </c>
      <c r="C14" s="33" t="str">
        <f>IF($B$1=1,B14,A14)</f>
        <v>Udlån til dagsværdi (mia. kr.)</v>
      </c>
      <c r="D14" s="256">
        <v>1122.048</v>
      </c>
      <c r="E14" s="256">
        <v>1144.03</v>
      </c>
      <c r="F14" s="256">
        <v>1058.493</v>
      </c>
      <c r="G14" s="256">
        <v>1059.489</v>
      </c>
      <c r="H14" s="256">
        <v>1057.34</v>
      </c>
      <c r="I14" s="256">
        <v>1079.927</v>
      </c>
      <c r="J14" s="256">
        <v>1025</v>
      </c>
      <c r="K14" s="256">
        <v>1000.923</v>
      </c>
      <c r="L14" s="256">
        <v>787.223</v>
      </c>
      <c r="M14" s="256">
        <v>784.638</v>
      </c>
      <c r="N14" s="256">
        <v>772.356</v>
      </c>
      <c r="O14" s="256">
        <v>770.44</v>
      </c>
      <c r="P14" s="256">
        <v>766.003</v>
      </c>
      <c r="Q14" s="256">
        <v>765.547</v>
      </c>
      <c r="R14" s="256">
        <v>757.222</v>
      </c>
      <c r="S14" s="256">
        <v>748.774</v>
      </c>
      <c r="T14" s="256">
        <v>741.66</v>
      </c>
      <c r="U14" s="256">
        <v>740.105</v>
      </c>
      <c r="V14" s="256">
        <v>737.37</v>
      </c>
      <c r="W14" s="256">
        <v>745.902</v>
      </c>
      <c r="X14" s="256">
        <v>741.609</v>
      </c>
      <c r="Y14" s="256">
        <v>744</v>
      </c>
      <c r="Z14" s="256">
        <v>740.197</v>
      </c>
      <c r="AA14" s="256">
        <v>737.027</v>
      </c>
      <c r="AB14" s="243">
        <v>728.081</v>
      </c>
      <c r="AC14" s="243">
        <v>727.086</v>
      </c>
      <c r="AD14" s="243">
        <v>726.433</v>
      </c>
      <c r="AE14" s="243">
        <v>731.337</v>
      </c>
      <c r="AF14" s="243">
        <v>732.762</v>
      </c>
      <c r="AG14" s="243">
        <v>725.795</v>
      </c>
      <c r="AH14" s="243">
        <v>721.637</v>
      </c>
      <c r="AI14" s="243">
        <v>718.744</v>
      </c>
      <c r="AJ14" s="243">
        <v>720.741</v>
      </c>
      <c r="AK14" s="243">
        <v>713</v>
      </c>
      <c r="AL14" s="213">
        <v>696</v>
      </c>
      <c r="AM14" s="226">
        <v>691</v>
      </c>
      <c r="AN14" s="226">
        <v>702</v>
      </c>
      <c r="AO14" s="217">
        <v>708</v>
      </c>
      <c r="AP14" s="36">
        <v>704</v>
      </c>
      <c r="AQ14" s="36">
        <v>695</v>
      </c>
      <c r="AR14" s="36">
        <v>688</v>
      </c>
      <c r="AS14" s="36">
        <v>692</v>
      </c>
      <c r="AT14" s="36">
        <v>684</v>
      </c>
      <c r="AU14" s="36">
        <v>679</v>
      </c>
      <c r="AV14" s="36">
        <v>667</v>
      </c>
      <c r="AW14" s="36">
        <v>641</v>
      </c>
      <c r="AX14" s="36">
        <v>632</v>
      </c>
      <c r="AY14" s="36">
        <v>640</v>
      </c>
      <c r="AZ14" s="174">
        <v>628</v>
      </c>
      <c r="BA14" s="174">
        <v>614</v>
      </c>
      <c r="BB14" s="174">
        <v>600</v>
      </c>
      <c r="BC14" s="174">
        <v>608</v>
      </c>
      <c r="BD14" s="174">
        <v>603</v>
      </c>
      <c r="BE14" s="174">
        <v>593</v>
      </c>
      <c r="BF14" s="34">
        <v>573</v>
      </c>
      <c r="BG14" s="34">
        <v>567</v>
      </c>
      <c r="BH14" s="34">
        <v>569</v>
      </c>
      <c r="BI14" s="34">
        <v>569</v>
      </c>
      <c r="BJ14" s="34">
        <v>558</v>
      </c>
      <c r="BK14" s="34">
        <v>546</v>
      </c>
      <c r="BL14" s="34">
        <v>531</v>
      </c>
      <c r="BM14" s="34">
        <v>524</v>
      </c>
      <c r="BN14" s="34">
        <v>524</v>
      </c>
      <c r="BO14" s="34">
        <v>516</v>
      </c>
      <c r="BP14" s="34">
        <v>509</v>
      </c>
      <c r="BQ14" s="36">
        <v>512</v>
      </c>
    </row>
    <row r="15" spans="1:69" ht="15" customHeight="1">
      <c r="A15" s="27" t="s">
        <v>226</v>
      </c>
      <c r="B15" s="27" t="s">
        <v>221</v>
      </c>
      <c r="C15" s="33" t="str">
        <f>IF($B$1=1,B15,A15)</f>
        <v>Aktiver i handelsportefølje (mia. kr.)</v>
      </c>
      <c r="D15" s="256">
        <v>495.321</v>
      </c>
      <c r="E15" s="256">
        <v>612.102</v>
      </c>
      <c r="F15" s="256">
        <v>534.067</v>
      </c>
      <c r="G15" s="256">
        <v>468.444</v>
      </c>
      <c r="H15" s="256">
        <v>415.818</v>
      </c>
      <c r="I15" s="256">
        <v>443.767</v>
      </c>
      <c r="J15" s="256">
        <v>523</v>
      </c>
      <c r="K15" s="256">
        <v>466.739</v>
      </c>
      <c r="L15" s="256">
        <v>449.292</v>
      </c>
      <c r="M15" s="256">
        <v>467.607</v>
      </c>
      <c r="N15" s="256">
        <v>489.463</v>
      </c>
      <c r="O15" s="256">
        <v>463.752</v>
      </c>
      <c r="P15" s="256">
        <v>509.679</v>
      </c>
      <c r="Q15" s="256">
        <v>552.921</v>
      </c>
      <c r="R15" s="256">
        <v>577.415</v>
      </c>
      <c r="S15" s="256">
        <v>566.268</v>
      </c>
      <c r="T15" s="256">
        <v>547.019</v>
      </c>
      <c r="U15" s="256">
        <v>559.636</v>
      </c>
      <c r="V15" s="256">
        <v>596.74</v>
      </c>
      <c r="W15" s="256">
        <v>800.073</v>
      </c>
      <c r="X15" s="256">
        <v>742.512</v>
      </c>
      <c r="Y15" s="256">
        <v>751.138</v>
      </c>
      <c r="Z15" s="256">
        <v>696.5</v>
      </c>
      <c r="AA15" s="256">
        <v>706.906</v>
      </c>
      <c r="AB15" s="243">
        <v>695.722</v>
      </c>
      <c r="AC15" s="243">
        <v>707.571</v>
      </c>
      <c r="AD15" s="243">
        <v>721.484</v>
      </c>
      <c r="AE15" s="243">
        <v>831.669</v>
      </c>
      <c r="AF15" s="243">
        <v>812.927</v>
      </c>
      <c r="AG15" s="243">
        <v>924.903</v>
      </c>
      <c r="AH15" s="243">
        <v>862.961</v>
      </c>
      <c r="AI15" s="243">
        <v>869.047</v>
      </c>
      <c r="AJ15" s="243">
        <v>909.755</v>
      </c>
      <c r="AK15" s="243">
        <v>912</v>
      </c>
      <c r="AL15" s="213">
        <v>645</v>
      </c>
      <c r="AM15" s="226">
        <v>631</v>
      </c>
      <c r="AN15" s="226">
        <v>642</v>
      </c>
      <c r="AO15" s="217">
        <v>810</v>
      </c>
      <c r="AP15" s="36">
        <v>776</v>
      </c>
      <c r="AQ15" s="36">
        <v>666</v>
      </c>
      <c r="AR15" s="36">
        <v>620</v>
      </c>
      <c r="AS15" s="36">
        <v>650</v>
      </c>
      <c r="AT15" s="36">
        <v>617</v>
      </c>
      <c r="AU15" s="36">
        <v>720</v>
      </c>
      <c r="AV15" s="36">
        <v>861</v>
      </c>
      <c r="AW15" s="36">
        <v>747</v>
      </c>
      <c r="AX15" s="36">
        <v>757</v>
      </c>
      <c r="AY15" s="36">
        <v>711</v>
      </c>
      <c r="AZ15" s="174">
        <v>652</v>
      </c>
      <c r="BA15" s="174">
        <v>587</v>
      </c>
      <c r="BB15" s="174">
        <v>539</v>
      </c>
      <c r="BC15" s="174">
        <v>475</v>
      </c>
      <c r="BD15" s="174">
        <v>491</v>
      </c>
      <c r="BE15" s="174">
        <v>432</v>
      </c>
      <c r="BF15" s="34">
        <v>394</v>
      </c>
      <c r="BG15" s="34">
        <v>357</v>
      </c>
      <c r="BH15" s="34">
        <v>445</v>
      </c>
      <c r="BI15" s="34">
        <v>445</v>
      </c>
      <c r="BJ15" s="34">
        <v>457</v>
      </c>
      <c r="BK15" s="34">
        <v>555</v>
      </c>
      <c r="BL15" s="34">
        <v>468</v>
      </c>
      <c r="BM15" s="34">
        <v>423</v>
      </c>
      <c r="BN15" s="34">
        <v>423</v>
      </c>
      <c r="BO15" s="34">
        <v>386</v>
      </c>
      <c r="BP15" s="34">
        <v>337</v>
      </c>
      <c r="BQ15" s="37">
        <v>368</v>
      </c>
    </row>
    <row r="16" spans="1:69" ht="15" customHeight="1">
      <c r="A16" s="27" t="s">
        <v>227</v>
      </c>
      <c r="B16" s="27" t="s">
        <v>88</v>
      </c>
      <c r="C16" s="33" t="str">
        <f>IF($B$1=1,B16,A16)</f>
        <v>Aktiver i alt (mia. kr.)</v>
      </c>
      <c r="D16" s="256">
        <v>3761.05</v>
      </c>
      <c r="E16" s="256">
        <v>3962.718</v>
      </c>
      <c r="F16" s="256">
        <v>3778.409</v>
      </c>
      <c r="G16" s="256">
        <v>3714.914</v>
      </c>
      <c r="H16" s="256">
        <v>3578.467</v>
      </c>
      <c r="I16" s="256">
        <v>3673.028</v>
      </c>
      <c r="J16" s="256">
        <v>3706</v>
      </c>
      <c r="K16" s="256">
        <v>3538.555</v>
      </c>
      <c r="L16" s="256">
        <v>3539.528</v>
      </c>
      <c r="M16" s="256">
        <v>3547.785</v>
      </c>
      <c r="N16" s="256">
        <v>3573</v>
      </c>
      <c r="O16" s="256">
        <v>3543.54</v>
      </c>
      <c r="P16" s="256">
        <v>3483.67</v>
      </c>
      <c r="Q16" s="256">
        <v>3548.569</v>
      </c>
      <c r="R16" s="256">
        <v>3483.327</v>
      </c>
      <c r="S16" s="256">
        <v>3388.518</v>
      </c>
      <c r="T16" s="256">
        <v>3292.878</v>
      </c>
      <c r="U16" s="256">
        <v>3348.051</v>
      </c>
      <c r="V16" s="256">
        <v>3452.213</v>
      </c>
      <c r="W16" s="256">
        <v>3671.158</v>
      </c>
      <c r="X16" s="256">
        <v>3453.015</v>
      </c>
      <c r="Y16" s="256">
        <v>3437.294</v>
      </c>
      <c r="Z16" s="256">
        <v>3273.485</v>
      </c>
      <c r="AA16" s="256">
        <v>3314.218</v>
      </c>
      <c r="AB16" s="243">
        <v>3227.057</v>
      </c>
      <c r="AC16" s="243">
        <v>3268.23</v>
      </c>
      <c r="AD16" s="243">
        <v>3317.104</v>
      </c>
      <c r="AE16" s="243">
        <v>3500.998</v>
      </c>
      <c r="AF16" s="243">
        <v>3484.949</v>
      </c>
      <c r="AG16" s="243">
        <v>3598.106</v>
      </c>
      <c r="AH16" s="243">
        <v>3480.348</v>
      </c>
      <c r="AI16" s="243">
        <v>3501.418</v>
      </c>
      <c r="AJ16" s="243">
        <v>3424.403</v>
      </c>
      <c r="AK16" s="243">
        <v>3381</v>
      </c>
      <c r="AL16" s="213">
        <v>3127</v>
      </c>
      <c r="AM16" s="226">
        <v>3126</v>
      </c>
      <c r="AN16" s="226">
        <v>3214</v>
      </c>
      <c r="AO16" s="217">
        <v>3361</v>
      </c>
      <c r="AP16" s="36">
        <v>3364</v>
      </c>
      <c r="AQ16" s="36">
        <v>3209</v>
      </c>
      <c r="AR16" s="36">
        <v>3098</v>
      </c>
      <c r="AS16" s="36">
        <v>3298</v>
      </c>
      <c r="AT16" s="36">
        <v>3240</v>
      </c>
      <c r="AU16" s="36">
        <v>3344</v>
      </c>
      <c r="AV16" s="36">
        <v>3544</v>
      </c>
      <c r="AW16" s="36">
        <v>3516</v>
      </c>
      <c r="AX16" s="36">
        <v>3492</v>
      </c>
      <c r="AY16" s="36">
        <v>3443</v>
      </c>
      <c r="AZ16" s="174">
        <v>3350</v>
      </c>
      <c r="BA16" s="174">
        <v>3195</v>
      </c>
      <c r="BB16" s="174">
        <v>3072</v>
      </c>
      <c r="BC16" s="174">
        <v>2951</v>
      </c>
      <c r="BD16" s="174">
        <v>2739</v>
      </c>
      <c r="BE16" s="174">
        <v>2653</v>
      </c>
      <c r="BF16" s="34">
        <v>2513</v>
      </c>
      <c r="BG16" s="34">
        <v>2392</v>
      </c>
      <c r="BH16" s="34">
        <v>2432</v>
      </c>
      <c r="BI16" s="34">
        <v>2432</v>
      </c>
      <c r="BJ16" s="34">
        <v>2399</v>
      </c>
      <c r="BK16" s="34">
        <v>2433</v>
      </c>
      <c r="BL16" s="34">
        <v>2271</v>
      </c>
      <c r="BM16" s="34">
        <v>2053</v>
      </c>
      <c r="BN16" s="34">
        <v>2053</v>
      </c>
      <c r="BO16" s="34">
        <v>1987</v>
      </c>
      <c r="BP16" s="34">
        <v>1888</v>
      </c>
      <c r="BQ16" s="37">
        <v>1917</v>
      </c>
    </row>
    <row r="17" spans="4:69" ht="15" customHeight="1">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43"/>
      <c r="AC17" s="243"/>
      <c r="AD17" s="243"/>
      <c r="AE17" s="243"/>
      <c r="AF17" s="243"/>
      <c r="AG17" s="243"/>
      <c r="AH17" s="243"/>
      <c r="AI17" s="243"/>
      <c r="AJ17" s="243"/>
      <c r="AK17" s="243"/>
      <c r="AL17" s="213"/>
      <c r="AM17" s="226"/>
      <c r="AN17" s="227"/>
      <c r="AP17" s="34"/>
      <c r="AQ17" s="34"/>
      <c r="AR17" s="34"/>
      <c r="AS17" s="34"/>
      <c r="AT17" s="34"/>
      <c r="AU17" s="34"/>
      <c r="AV17" s="34"/>
      <c r="AW17" s="34"/>
      <c r="AX17" s="34"/>
      <c r="AY17" s="34"/>
      <c r="AZ17" s="175"/>
      <c r="BA17" s="175"/>
      <c r="BB17" s="175"/>
      <c r="BC17" s="175"/>
      <c r="BD17" s="175"/>
      <c r="BE17" s="175"/>
      <c r="BF17" s="35"/>
      <c r="BG17" s="35"/>
      <c r="BH17" s="35"/>
      <c r="BI17" s="35"/>
      <c r="BJ17" s="35"/>
      <c r="BK17" s="35"/>
      <c r="BL17" s="35"/>
      <c r="BN17" s="35"/>
      <c r="BP17" s="35"/>
      <c r="BQ17" s="35"/>
    </row>
    <row r="18" spans="1:69" ht="15" customHeight="1">
      <c r="A18" s="27" t="s">
        <v>228</v>
      </c>
      <c r="B18" s="25" t="s">
        <v>177</v>
      </c>
      <c r="C18" s="33" t="str">
        <f>IF($B$1=1,B18,A18)</f>
        <v>Gæld til kreditinstitutter og centralbanker (mia. kr.)</v>
      </c>
      <c r="D18" s="256">
        <v>155.246</v>
      </c>
      <c r="E18" s="256">
        <v>218.324</v>
      </c>
      <c r="F18" s="256">
        <v>222.229</v>
      </c>
      <c r="G18" s="256">
        <v>226.145</v>
      </c>
      <c r="H18" s="256">
        <v>248.601</v>
      </c>
      <c r="I18" s="256">
        <v>265.816</v>
      </c>
      <c r="J18" s="256">
        <v>265</v>
      </c>
      <c r="K18" s="256">
        <v>250.14</v>
      </c>
      <c r="L18" s="256">
        <v>242.887</v>
      </c>
      <c r="M18" s="256">
        <v>256.238</v>
      </c>
      <c r="N18" s="256">
        <v>256.566</v>
      </c>
      <c r="O18" s="256">
        <v>248.298</v>
      </c>
      <c r="P18" s="256">
        <v>272.883</v>
      </c>
      <c r="Q18" s="256">
        <v>333.44</v>
      </c>
      <c r="R18" s="256">
        <v>289.363</v>
      </c>
      <c r="S18" s="256">
        <v>306.201</v>
      </c>
      <c r="T18" s="256">
        <v>271.588</v>
      </c>
      <c r="U18" s="256">
        <v>283.559</v>
      </c>
      <c r="V18" s="256">
        <v>312.871</v>
      </c>
      <c r="W18" s="256">
        <v>366.613</v>
      </c>
      <c r="X18" s="256">
        <v>329.048</v>
      </c>
      <c r="Y18" s="256">
        <v>324.611</v>
      </c>
      <c r="Z18" s="256">
        <v>289.065</v>
      </c>
      <c r="AA18" s="256">
        <v>333.387</v>
      </c>
      <c r="AB18" s="243">
        <v>312.597</v>
      </c>
      <c r="AC18" s="243">
        <v>416.452</v>
      </c>
      <c r="AD18" s="243">
        <v>415.999</v>
      </c>
      <c r="AE18" s="243">
        <v>485.512</v>
      </c>
      <c r="AF18" s="243">
        <v>459.932</v>
      </c>
      <c r="AG18" s="243">
        <v>518.983</v>
      </c>
      <c r="AH18" s="243">
        <v>515.557</v>
      </c>
      <c r="AI18" s="243">
        <v>488.324</v>
      </c>
      <c r="AJ18" s="243">
        <v>393.388</v>
      </c>
      <c r="AK18" s="243">
        <v>374</v>
      </c>
      <c r="AL18" s="213">
        <v>317</v>
      </c>
      <c r="AM18" s="226">
        <v>310</v>
      </c>
      <c r="AN18" s="226">
        <v>318</v>
      </c>
      <c r="AO18" s="217">
        <v>315</v>
      </c>
      <c r="AP18" s="36">
        <v>314</v>
      </c>
      <c r="AQ18" s="36">
        <v>330</v>
      </c>
      <c r="AR18" s="36">
        <v>311</v>
      </c>
      <c r="AS18" s="36">
        <v>368</v>
      </c>
      <c r="AT18" s="36">
        <v>382</v>
      </c>
      <c r="AU18" s="36">
        <v>451</v>
      </c>
      <c r="AV18" s="36">
        <v>563</v>
      </c>
      <c r="AW18" s="36">
        <v>744</v>
      </c>
      <c r="AX18" s="36">
        <v>649</v>
      </c>
      <c r="AY18" s="36">
        <v>597</v>
      </c>
      <c r="AZ18" s="174">
        <v>677</v>
      </c>
      <c r="BA18" s="174">
        <v>529</v>
      </c>
      <c r="BB18" s="174">
        <v>517</v>
      </c>
      <c r="BC18" s="174">
        <v>539</v>
      </c>
      <c r="BD18" s="174">
        <v>565</v>
      </c>
      <c r="BE18" s="174">
        <v>546</v>
      </c>
      <c r="BF18" s="34">
        <v>470</v>
      </c>
      <c r="BG18" s="34">
        <v>422</v>
      </c>
      <c r="BH18" s="34">
        <v>476</v>
      </c>
      <c r="BI18" s="34">
        <v>476</v>
      </c>
      <c r="BJ18" s="34">
        <v>485</v>
      </c>
      <c r="BK18" s="34">
        <v>511</v>
      </c>
      <c r="BL18" s="34">
        <v>458</v>
      </c>
      <c r="BM18" s="34">
        <v>353</v>
      </c>
      <c r="BN18" s="34">
        <v>353</v>
      </c>
      <c r="BO18" s="34">
        <v>393</v>
      </c>
      <c r="BP18" s="34">
        <v>332</v>
      </c>
      <c r="BQ18" s="34">
        <v>364</v>
      </c>
    </row>
    <row r="19" spans="1:69" ht="15" customHeight="1">
      <c r="A19" s="27" t="s">
        <v>229</v>
      </c>
      <c r="B19" s="25" t="s">
        <v>85</v>
      </c>
      <c r="C19" s="33" t="str">
        <f>IF($B$1=1,B19,A19)</f>
        <v>Indlån (mia. kr.)</v>
      </c>
      <c r="D19" s="256">
        <v>1140.726</v>
      </c>
      <c r="E19" s="256">
        <v>1109.773</v>
      </c>
      <c r="F19" s="256">
        <v>1117.275</v>
      </c>
      <c r="G19" s="256">
        <v>1084.157</v>
      </c>
      <c r="H19" s="256">
        <v>1059.119</v>
      </c>
      <c r="I19" s="256">
        <v>1068.829</v>
      </c>
      <c r="J19" s="256">
        <v>1057</v>
      </c>
      <c r="K19" s="256">
        <v>1085.108</v>
      </c>
      <c r="L19" s="256">
        <v>1046.858</v>
      </c>
      <c r="M19" s="256">
        <v>1051.135</v>
      </c>
      <c r="N19" s="256">
        <v>1040.938</v>
      </c>
      <c r="O19" s="256">
        <v>996.055</v>
      </c>
      <c r="P19" s="256">
        <v>943.865</v>
      </c>
      <c r="Q19" s="256">
        <v>957.601</v>
      </c>
      <c r="R19" s="256">
        <v>952.386</v>
      </c>
      <c r="S19" s="256">
        <v>888.681</v>
      </c>
      <c r="T19" s="256">
        <v>863.474</v>
      </c>
      <c r="U19" s="256">
        <v>958.343</v>
      </c>
      <c r="V19" s="256">
        <v>984.409</v>
      </c>
      <c r="W19" s="256">
        <v>1018.038</v>
      </c>
      <c r="X19" s="256">
        <v>966.197</v>
      </c>
      <c r="Y19" s="256">
        <v>985.916</v>
      </c>
      <c r="Z19" s="256">
        <v>1023.307</v>
      </c>
      <c r="AA19" s="256">
        <v>1041.738</v>
      </c>
      <c r="AB19" s="243">
        <v>943.901</v>
      </c>
      <c r="AC19" s="243">
        <v>901.395</v>
      </c>
      <c r="AD19" s="243">
        <v>900.358</v>
      </c>
      <c r="AE19" s="243">
        <v>899.05</v>
      </c>
      <c r="AF19" s="243">
        <v>929.092</v>
      </c>
      <c r="AG19" s="243">
        <v>858.738</v>
      </c>
      <c r="AH19" s="243">
        <v>854.162</v>
      </c>
      <c r="AI19" s="243">
        <v>854.52</v>
      </c>
      <c r="AJ19" s="243">
        <v>848.994</v>
      </c>
      <c r="AK19" s="243">
        <v>889</v>
      </c>
      <c r="AL19" s="213">
        <v>892</v>
      </c>
      <c r="AM19" s="226">
        <v>866</v>
      </c>
      <c r="AN19" s="226">
        <v>861</v>
      </c>
      <c r="AO19" s="217">
        <v>828</v>
      </c>
      <c r="AP19" s="36">
        <v>809</v>
      </c>
      <c r="AQ19" s="36">
        <v>820</v>
      </c>
      <c r="AR19" s="36">
        <v>860</v>
      </c>
      <c r="AS19" s="36">
        <v>846</v>
      </c>
      <c r="AT19" s="36">
        <v>834</v>
      </c>
      <c r="AU19" s="36">
        <v>843</v>
      </c>
      <c r="AV19" s="36">
        <v>875</v>
      </c>
      <c r="AW19" s="36">
        <v>909</v>
      </c>
      <c r="AX19" s="36">
        <v>979</v>
      </c>
      <c r="AY19" s="36">
        <v>1005</v>
      </c>
      <c r="AZ19" s="174">
        <v>924</v>
      </c>
      <c r="BA19" s="174">
        <v>912</v>
      </c>
      <c r="BB19" s="174">
        <v>887</v>
      </c>
      <c r="BC19" s="174">
        <v>782</v>
      </c>
      <c r="BD19" s="174">
        <v>703</v>
      </c>
      <c r="BE19" s="174">
        <v>678</v>
      </c>
      <c r="BF19" s="34">
        <v>689</v>
      </c>
      <c r="BG19" s="34">
        <v>618</v>
      </c>
      <c r="BH19" s="34">
        <v>631</v>
      </c>
      <c r="BI19" s="34">
        <v>631</v>
      </c>
      <c r="BJ19" s="34">
        <v>584</v>
      </c>
      <c r="BK19" s="34">
        <v>603</v>
      </c>
      <c r="BL19" s="34">
        <v>569</v>
      </c>
      <c r="BM19" s="34">
        <v>488</v>
      </c>
      <c r="BN19" s="34">
        <v>488</v>
      </c>
      <c r="BO19" s="34">
        <v>475</v>
      </c>
      <c r="BP19" s="34">
        <v>479</v>
      </c>
      <c r="BQ19" s="36">
        <v>469</v>
      </c>
    </row>
    <row r="20" spans="1:69" ht="15" customHeight="1">
      <c r="A20" s="27" t="s">
        <v>321</v>
      </c>
      <c r="B20" s="25" t="s">
        <v>322</v>
      </c>
      <c r="C20" s="33" t="str">
        <f>IF($B$1=1,B20,A20)</f>
        <v>Udstedte obligationer til dagsværdi (mia. kr.)</v>
      </c>
      <c r="D20" s="256">
        <v>802.501</v>
      </c>
      <c r="E20" s="256">
        <v>827.259</v>
      </c>
      <c r="F20" s="256">
        <v>792.352</v>
      </c>
      <c r="G20" s="256">
        <v>765.284</v>
      </c>
      <c r="H20" s="256">
        <v>759.588</v>
      </c>
      <c r="I20" s="256">
        <v>793.349</v>
      </c>
      <c r="J20" s="256">
        <v>799</v>
      </c>
      <c r="K20" s="256">
        <v>828.415</v>
      </c>
      <c r="L20" s="256">
        <v>758.375</v>
      </c>
      <c r="M20" s="256">
        <v>749.414</v>
      </c>
      <c r="N20" s="256">
        <v>733.172</v>
      </c>
      <c r="O20" s="256">
        <v>734.25</v>
      </c>
      <c r="P20" s="256">
        <v>726.732</v>
      </c>
      <c r="Q20" s="256">
        <v>715.73</v>
      </c>
      <c r="R20" s="256">
        <v>706.503</v>
      </c>
      <c r="S20" s="256">
        <v>682.542</v>
      </c>
      <c r="T20" s="256">
        <v>694.519</v>
      </c>
      <c r="U20" s="256">
        <v>687.554</v>
      </c>
      <c r="V20" s="256">
        <v>691.544</v>
      </c>
      <c r="W20" s="256">
        <v>678.875</v>
      </c>
      <c r="X20" s="256">
        <v>655.965</v>
      </c>
      <c r="Y20" s="256">
        <v>656.022</v>
      </c>
      <c r="Z20" s="256">
        <v>648.068</v>
      </c>
      <c r="AA20" s="256">
        <v>623.956</v>
      </c>
      <c r="AB20" s="243">
        <v>614.196</v>
      </c>
      <c r="AC20" s="243">
        <v>605.817</v>
      </c>
      <c r="AD20" s="243">
        <v>616.457</v>
      </c>
      <c r="AE20" s="243">
        <v>623.133</v>
      </c>
      <c r="AF20" s="243">
        <v>614.325</v>
      </c>
      <c r="AG20" s="243">
        <v>618.513</v>
      </c>
      <c r="AH20" s="243">
        <v>596.837</v>
      </c>
      <c r="AI20" s="243">
        <v>604.323</v>
      </c>
      <c r="AJ20" s="243">
        <v>557.699</v>
      </c>
      <c r="AK20" s="243">
        <v>534</v>
      </c>
      <c r="AL20" s="213">
        <v>530</v>
      </c>
      <c r="AM20" s="226">
        <v>542</v>
      </c>
      <c r="AN20" s="226">
        <v>555</v>
      </c>
      <c r="AO20" s="217">
        <v>564</v>
      </c>
      <c r="AP20" s="36">
        <v>556</v>
      </c>
      <c r="AQ20" s="36">
        <v>550</v>
      </c>
      <c r="AR20" s="36">
        <v>517</v>
      </c>
      <c r="AS20" s="36">
        <v>536</v>
      </c>
      <c r="AT20" s="36">
        <v>522</v>
      </c>
      <c r="AU20" s="36">
        <v>511</v>
      </c>
      <c r="AV20" s="36">
        <v>480</v>
      </c>
      <c r="AW20" s="36">
        <v>481</v>
      </c>
      <c r="AX20" s="36">
        <v>489</v>
      </c>
      <c r="AY20" s="36">
        <v>503</v>
      </c>
      <c r="AZ20" s="174">
        <v>519</v>
      </c>
      <c r="BA20" s="174">
        <v>490</v>
      </c>
      <c r="BB20" s="174">
        <v>486</v>
      </c>
      <c r="BC20" s="174">
        <v>483</v>
      </c>
      <c r="BD20" s="174">
        <v>484</v>
      </c>
      <c r="BE20" s="174">
        <v>470</v>
      </c>
      <c r="BF20" s="34">
        <v>456</v>
      </c>
      <c r="BG20" s="34">
        <v>447</v>
      </c>
      <c r="BH20" s="34">
        <v>439</v>
      </c>
      <c r="BI20" s="34">
        <v>439</v>
      </c>
      <c r="BJ20" s="34">
        <v>438</v>
      </c>
      <c r="BK20" s="34">
        <v>434</v>
      </c>
      <c r="BL20" s="34">
        <v>465</v>
      </c>
      <c r="BM20" s="34">
        <v>432</v>
      </c>
      <c r="BN20" s="34">
        <v>432</v>
      </c>
      <c r="BO20" s="34">
        <v>406</v>
      </c>
      <c r="BP20" s="34">
        <v>411</v>
      </c>
      <c r="BQ20" s="37">
        <v>403</v>
      </c>
    </row>
    <row r="21" spans="1:69" ht="15" customHeight="1">
      <c r="A21" s="27" t="s">
        <v>230</v>
      </c>
      <c r="B21" s="25" t="s">
        <v>86</v>
      </c>
      <c r="C21" s="33" t="str">
        <f>IF($B$1=1,B21,A21)</f>
        <v>Efterstillede kapitalindskud (mia. kr.)</v>
      </c>
      <c r="D21" s="256">
        <v>31.733</v>
      </c>
      <c r="E21" s="256">
        <v>25.948</v>
      </c>
      <c r="F21" s="256">
        <v>25.415</v>
      </c>
      <c r="G21" s="256">
        <v>28.891</v>
      </c>
      <c r="H21" s="256">
        <v>23.092</v>
      </c>
      <c r="I21" s="256">
        <v>33.882</v>
      </c>
      <c r="J21" s="256">
        <v>34</v>
      </c>
      <c r="K21" s="256">
        <v>28.84</v>
      </c>
      <c r="L21" s="256">
        <v>29.12</v>
      </c>
      <c r="M21" s="256">
        <v>29.39</v>
      </c>
      <c r="N21" s="256">
        <v>30.11</v>
      </c>
      <c r="O21" s="256">
        <v>35.922</v>
      </c>
      <c r="P21" s="256">
        <v>37.831</v>
      </c>
      <c r="Q21" s="256">
        <v>38.249</v>
      </c>
      <c r="R21" s="256">
        <v>38.726</v>
      </c>
      <c r="S21" s="256">
        <v>39.361</v>
      </c>
      <c r="T21" s="256">
        <v>39.991</v>
      </c>
      <c r="U21" s="256">
        <v>40.022</v>
      </c>
      <c r="V21" s="256">
        <v>36.846</v>
      </c>
      <c r="W21" s="256">
        <v>36.948</v>
      </c>
      <c r="X21" s="256">
        <v>41.028</v>
      </c>
      <c r="Y21" s="256">
        <v>41.291</v>
      </c>
      <c r="Z21" s="256">
        <v>41.094</v>
      </c>
      <c r="AA21" s="256">
        <v>65.277</v>
      </c>
      <c r="AB21" s="243">
        <v>66.219</v>
      </c>
      <c r="AC21" s="243">
        <v>58.502</v>
      </c>
      <c r="AD21" s="243">
        <v>58.905</v>
      </c>
      <c r="AE21" s="243">
        <v>63.561</v>
      </c>
      <c r="AF21" s="243">
        <v>67.785</v>
      </c>
      <c r="AG21" s="243">
        <v>68.652</v>
      </c>
      <c r="AH21" s="243">
        <v>62.584</v>
      </c>
      <c r="AI21" s="243">
        <v>64.033</v>
      </c>
      <c r="AJ21" s="243">
        <v>67.328</v>
      </c>
      <c r="AK21" s="243">
        <v>70</v>
      </c>
      <c r="AL21" s="213">
        <v>72</v>
      </c>
      <c r="AM21" s="226">
        <v>76</v>
      </c>
      <c r="AN21" s="226">
        <v>77</v>
      </c>
      <c r="AO21" s="217">
        <v>80</v>
      </c>
      <c r="AP21" s="36">
        <v>85</v>
      </c>
      <c r="AQ21" s="36">
        <v>81</v>
      </c>
      <c r="AR21" s="36">
        <v>80</v>
      </c>
      <c r="AS21" s="36">
        <v>84</v>
      </c>
      <c r="AT21" s="36">
        <v>83</v>
      </c>
      <c r="AU21" s="36">
        <v>58</v>
      </c>
      <c r="AV21" s="36">
        <v>58</v>
      </c>
      <c r="AW21" s="36">
        <v>58</v>
      </c>
      <c r="AX21" s="36">
        <v>56</v>
      </c>
      <c r="AY21" s="36">
        <v>58</v>
      </c>
      <c r="AZ21" s="174">
        <v>59</v>
      </c>
      <c r="BA21" s="174">
        <v>57</v>
      </c>
      <c r="BB21" s="174">
        <v>57</v>
      </c>
      <c r="BC21" s="174">
        <v>62</v>
      </c>
      <c r="BD21" s="174">
        <v>49</v>
      </c>
      <c r="BE21" s="174">
        <v>40</v>
      </c>
      <c r="BF21" s="34">
        <v>40</v>
      </c>
      <c r="BG21" s="34">
        <v>42</v>
      </c>
      <c r="BH21" s="34">
        <v>44</v>
      </c>
      <c r="BI21" s="34">
        <v>44</v>
      </c>
      <c r="BJ21" s="34">
        <v>46</v>
      </c>
      <c r="BK21" s="34">
        <v>42</v>
      </c>
      <c r="BL21" s="34">
        <v>40</v>
      </c>
      <c r="BM21" s="34">
        <v>34</v>
      </c>
      <c r="BN21" s="34">
        <v>34</v>
      </c>
      <c r="BO21" s="34">
        <v>37</v>
      </c>
      <c r="BP21" s="34">
        <v>37</v>
      </c>
      <c r="BQ21" s="34">
        <v>34</v>
      </c>
    </row>
    <row r="22" spans="1:69" ht="15" customHeight="1">
      <c r="A22" s="27" t="s">
        <v>231</v>
      </c>
      <c r="B22" s="25" t="s">
        <v>87</v>
      </c>
      <c r="C22" s="33" t="str">
        <f>IF($B$1=1,B22,A22)</f>
        <v>Egenkapital (mia. kr.)</v>
      </c>
      <c r="D22" s="256">
        <v>156.271</v>
      </c>
      <c r="E22" s="256">
        <v>151.064</v>
      </c>
      <c r="F22" s="256">
        <v>148.748</v>
      </c>
      <c r="G22" s="256">
        <v>144.156</v>
      </c>
      <c r="H22" s="256">
        <v>148.976</v>
      </c>
      <c r="I22" s="256">
        <v>146.299</v>
      </c>
      <c r="J22" s="256">
        <v>147</v>
      </c>
      <c r="K22" s="256">
        <v>145.175</v>
      </c>
      <c r="L22" s="256">
        <v>153.916</v>
      </c>
      <c r="M22" s="256">
        <v>150.945</v>
      </c>
      <c r="N22" s="256">
        <v>148.564</v>
      </c>
      <c r="O22" s="256">
        <v>146.149</v>
      </c>
      <c r="P22" s="256">
        <v>152.272</v>
      </c>
      <c r="Q22" s="256">
        <v>148.806</v>
      </c>
      <c r="R22" s="256">
        <v>146.779</v>
      </c>
      <c r="S22" s="256">
        <v>144.672</v>
      </c>
      <c r="T22" s="256">
        <v>149.513</v>
      </c>
      <c r="U22" s="256">
        <v>150.101</v>
      </c>
      <c r="V22" s="256">
        <v>148.715</v>
      </c>
      <c r="W22" s="256">
        <v>145.851</v>
      </c>
      <c r="X22" s="256">
        <v>146.708</v>
      </c>
      <c r="Y22" s="256">
        <v>153.003</v>
      </c>
      <c r="Z22" s="256">
        <v>150.244</v>
      </c>
      <c r="AA22" s="256">
        <v>146.242</v>
      </c>
      <c r="AB22" s="243">
        <v>145.657</v>
      </c>
      <c r="AC22" s="243">
        <v>143.316</v>
      </c>
      <c r="AD22" s="243">
        <v>141.626</v>
      </c>
      <c r="AE22" s="243">
        <v>139.568</v>
      </c>
      <c r="AF22" s="243">
        <v>138.004</v>
      </c>
      <c r="AG22" s="243">
        <v>128.949</v>
      </c>
      <c r="AH22" s="243">
        <v>127.827</v>
      </c>
      <c r="AI22" s="243">
        <v>127.587</v>
      </c>
      <c r="AJ22" s="243">
        <v>125.855</v>
      </c>
      <c r="AK22" s="243">
        <v>126</v>
      </c>
      <c r="AL22" s="213">
        <v>126</v>
      </c>
      <c r="AM22" s="226">
        <v>105</v>
      </c>
      <c r="AN22" s="226">
        <v>105</v>
      </c>
      <c r="AO22" s="217">
        <v>104</v>
      </c>
      <c r="AP22" s="36">
        <v>103</v>
      </c>
      <c r="AQ22" s="36">
        <v>102</v>
      </c>
      <c r="AR22" s="36">
        <v>101</v>
      </c>
      <c r="AS22" s="36">
        <v>100</v>
      </c>
      <c r="AT22" s="36">
        <v>99</v>
      </c>
      <c r="AU22" s="36">
        <v>100</v>
      </c>
      <c r="AV22" s="36">
        <v>98</v>
      </c>
      <c r="AW22" s="36">
        <v>106</v>
      </c>
      <c r="AX22" s="36">
        <v>105</v>
      </c>
      <c r="AY22" s="36">
        <v>101</v>
      </c>
      <c r="AZ22" s="174">
        <v>104</v>
      </c>
      <c r="BA22" s="174">
        <v>101</v>
      </c>
      <c r="BB22" s="174">
        <v>97</v>
      </c>
      <c r="BC22" s="174">
        <v>94</v>
      </c>
      <c r="BD22" s="174">
        <v>95</v>
      </c>
      <c r="BE22" s="174">
        <v>77</v>
      </c>
      <c r="BF22" s="34">
        <v>73</v>
      </c>
      <c r="BG22" s="34">
        <v>70</v>
      </c>
      <c r="BH22" s="34">
        <v>74</v>
      </c>
      <c r="BI22" s="34">
        <v>74</v>
      </c>
      <c r="BJ22" s="34">
        <v>71</v>
      </c>
      <c r="BK22" s="34">
        <v>68</v>
      </c>
      <c r="BL22" s="34">
        <v>65</v>
      </c>
      <c r="BM22" s="34">
        <v>67</v>
      </c>
      <c r="BN22" s="34">
        <v>67</v>
      </c>
      <c r="BO22" s="34">
        <v>65</v>
      </c>
      <c r="BP22" s="34">
        <v>64</v>
      </c>
      <c r="BQ22" s="34">
        <v>64</v>
      </c>
    </row>
    <row r="23" spans="4:39" ht="15" customHeight="1">
      <c r="D23" s="270"/>
      <c r="E23" s="270"/>
      <c r="F23" s="270"/>
      <c r="G23" s="270"/>
      <c r="H23" s="270"/>
      <c r="I23" s="270"/>
      <c r="J23" s="270"/>
      <c r="K23" s="270"/>
      <c r="L23" s="270"/>
      <c r="M23" s="270"/>
      <c r="N23" s="270"/>
      <c r="O23" s="270"/>
      <c r="P23" s="270"/>
      <c r="Q23" s="270"/>
      <c r="AL23" s="217"/>
      <c r="AM23" s="217"/>
    </row>
    <row r="24" spans="3:52" ht="15" customHeight="1">
      <c r="C24" s="254" t="s">
        <v>290</v>
      </c>
      <c r="D24" s="254"/>
      <c r="E24" s="254"/>
      <c r="F24" s="254"/>
      <c r="G24" s="254"/>
      <c r="H24" s="254"/>
      <c r="I24" s="254"/>
      <c r="J24" s="254"/>
      <c r="K24" s="254"/>
      <c r="L24" s="254"/>
      <c r="M24" s="254"/>
      <c r="N24" s="254"/>
      <c r="O24" s="254"/>
      <c r="P24" s="254"/>
      <c r="Q24" s="254"/>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row>
    <row r="25" spans="3:52" ht="15" customHeight="1">
      <c r="C25" s="254" t="s">
        <v>291</v>
      </c>
      <c r="D25" s="254"/>
      <c r="E25" s="254"/>
      <c r="F25" s="254"/>
      <c r="G25" s="254"/>
      <c r="H25" s="254"/>
      <c r="I25" s="254"/>
      <c r="J25" s="254"/>
      <c r="K25" s="254"/>
      <c r="L25" s="254"/>
      <c r="M25" s="254"/>
      <c r="N25" s="254"/>
      <c r="O25" s="254"/>
      <c r="P25" s="254"/>
      <c r="Q25" s="254"/>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row>
    <row r="26" spans="3:17" ht="15" customHeight="1">
      <c r="C26" s="203" t="s">
        <v>288</v>
      </c>
      <c r="D26" s="203"/>
      <c r="E26" s="203"/>
      <c r="F26" s="203"/>
      <c r="G26" s="203"/>
      <c r="H26" s="203"/>
      <c r="I26" s="203"/>
      <c r="J26" s="203"/>
      <c r="K26" s="203"/>
      <c r="L26" s="203"/>
      <c r="M26" s="203"/>
      <c r="N26" s="203"/>
      <c r="O26" s="203"/>
      <c r="P26" s="203"/>
      <c r="Q26" s="203"/>
    </row>
    <row r="27" spans="3:17" ht="15" customHeight="1">
      <c r="C27" s="255" t="s">
        <v>289</v>
      </c>
      <c r="D27" s="269"/>
      <c r="E27" s="269"/>
      <c r="F27" s="269"/>
      <c r="G27" s="269"/>
      <c r="H27" s="269"/>
      <c r="I27" s="269"/>
      <c r="J27" s="269"/>
      <c r="K27" s="269"/>
      <c r="L27" s="269"/>
      <c r="M27" s="269"/>
      <c r="N27" s="269"/>
      <c r="O27" s="269"/>
      <c r="P27" s="269"/>
      <c r="Q27" s="269"/>
    </row>
    <row r="29" spans="3:17" ht="15" customHeight="1">
      <c r="C29" s="203" t="s">
        <v>185</v>
      </c>
      <c r="D29" s="203"/>
      <c r="E29" s="203"/>
      <c r="F29" s="203"/>
      <c r="G29" s="203"/>
      <c r="H29" s="203"/>
      <c r="I29" s="203"/>
      <c r="J29" s="203"/>
      <c r="K29" s="203"/>
      <c r="L29" s="203"/>
      <c r="M29" s="203"/>
      <c r="N29" s="203"/>
      <c r="O29" s="203"/>
      <c r="P29" s="203"/>
      <c r="Q29" s="203"/>
    </row>
    <row r="31" spans="3:39" ht="15" customHeight="1">
      <c r="C31" s="203" t="s">
        <v>310</v>
      </c>
      <c r="D31" s="203"/>
      <c r="E31" s="203"/>
      <c r="F31" s="203"/>
      <c r="G31" s="203"/>
      <c r="H31" s="203"/>
      <c r="I31" s="203"/>
      <c r="J31" s="203"/>
      <c r="K31" s="203"/>
      <c r="L31" s="203"/>
      <c r="M31" s="203"/>
      <c r="N31" s="203"/>
      <c r="O31" s="203"/>
      <c r="P31" s="203"/>
      <c r="Q31" s="203"/>
      <c r="R31" s="22"/>
      <c r="S31" s="22"/>
      <c r="T31" s="22"/>
      <c r="U31" s="22"/>
      <c r="V31" s="22"/>
      <c r="W31" s="22"/>
      <c r="X31" s="22"/>
      <c r="Y31" s="22"/>
      <c r="Z31" s="22"/>
      <c r="AA31" s="22"/>
      <c r="AB31" s="22"/>
      <c r="AC31" s="22"/>
      <c r="AD31" s="22"/>
      <c r="AE31" s="22"/>
      <c r="AF31" s="22"/>
      <c r="AG31" s="22"/>
      <c r="AH31" s="22"/>
      <c r="AI31" s="22"/>
      <c r="AJ31" s="22"/>
      <c r="AK31" s="22"/>
      <c r="AL31" s="22"/>
      <c r="AM31" s="22"/>
    </row>
    <row r="32" ht="15" customHeight="1">
      <c r="C32" s="203" t="s">
        <v>323</v>
      </c>
    </row>
    <row r="35" ht="15" customHeight="1">
      <c r="AP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BR129"/>
  <sheetViews>
    <sheetView zoomScalePageLayoutView="0" workbookViewId="0" topLeftCell="C1">
      <selection activeCell="C1" sqref="C1"/>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14" width="16.421875" style="20" customWidth="1"/>
    <col min="15" max="17" width="18.57421875" style="20" customWidth="1"/>
    <col min="18" max="41" width="15.7109375" style="20" customWidth="1"/>
    <col min="42" max="42" width="15.8515625" style="20" customWidth="1"/>
    <col min="43" max="50" width="16.140625" style="20" customWidth="1"/>
    <col min="51" max="51" width="16.140625" style="20" hidden="1" customWidth="1"/>
    <col min="52" max="52" width="16.140625" style="20" customWidth="1"/>
    <col min="53" max="53" width="15.8515625" style="20" customWidth="1"/>
    <col min="54" max="16384" width="15.00390625" style="20" customWidth="1"/>
  </cols>
  <sheetData>
    <row r="1" spans="1:2" ht="15" customHeight="1">
      <c r="A1" s="38" t="s">
        <v>102</v>
      </c>
      <c r="B1" s="24">
        <v>1</v>
      </c>
    </row>
    <row r="2" spans="1:67" ht="15" customHeight="1">
      <c r="A2" s="25" t="s">
        <v>27</v>
      </c>
      <c r="B2" s="25" t="s">
        <v>13</v>
      </c>
      <c r="C2" s="26" t="str">
        <f>IF($B$1=1,B2,A2)</f>
        <v>Arket indeholder følgende information:</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161"/>
      <c r="BF2" s="161"/>
      <c r="BG2" s="161"/>
      <c r="BH2" s="161"/>
      <c r="BI2" s="161"/>
      <c r="BJ2" s="161"/>
      <c r="BK2" s="161"/>
      <c r="BL2" s="161"/>
      <c r="BM2" s="161"/>
      <c r="BN2" s="161"/>
      <c r="BO2" s="161"/>
    </row>
    <row r="3" ht="15" customHeight="1">
      <c r="B3" s="25" t="s">
        <v>25</v>
      </c>
    </row>
    <row r="4" ht="15" customHeight="1">
      <c r="B4" s="25" t="s">
        <v>26</v>
      </c>
    </row>
    <row r="6" spans="1:70" ht="15" customHeight="1">
      <c r="A6" s="27" t="s">
        <v>232</v>
      </c>
      <c r="B6" s="25" t="s">
        <v>89</v>
      </c>
      <c r="C6" s="111" t="str">
        <f>IF($B$1=1,B6,A6)</f>
        <v>Resultatopgørelse (mio. kr.)</v>
      </c>
      <c r="D6" s="189" t="s">
        <v>332</v>
      </c>
      <c r="E6" s="189" t="s">
        <v>331</v>
      </c>
      <c r="F6" s="189" t="s">
        <v>330</v>
      </c>
      <c r="G6" s="189" t="s">
        <v>329</v>
      </c>
      <c r="H6" s="189" t="s">
        <v>328</v>
      </c>
      <c r="I6" s="189" t="s">
        <v>327</v>
      </c>
      <c r="J6" s="189" t="s">
        <v>324</v>
      </c>
      <c r="K6" s="189" t="s">
        <v>319</v>
      </c>
      <c r="L6" s="189" t="s">
        <v>318</v>
      </c>
      <c r="M6" s="189" t="s">
        <v>317</v>
      </c>
      <c r="N6" s="189" t="s">
        <v>316</v>
      </c>
      <c r="O6" s="189" t="s">
        <v>314</v>
      </c>
      <c r="P6" s="189" t="s">
        <v>313</v>
      </c>
      <c r="Q6" s="189" t="s">
        <v>312</v>
      </c>
      <c r="R6" s="189" t="s">
        <v>311</v>
      </c>
      <c r="S6" s="189" t="s">
        <v>309</v>
      </c>
      <c r="T6" s="189" t="s">
        <v>307</v>
      </c>
      <c r="U6" s="189" t="s">
        <v>306</v>
      </c>
      <c r="V6" s="189" t="s">
        <v>305</v>
      </c>
      <c r="W6" s="189" t="s">
        <v>304</v>
      </c>
      <c r="X6" s="189" t="s">
        <v>302</v>
      </c>
      <c r="Y6" s="189" t="s">
        <v>299</v>
      </c>
      <c r="Z6" s="189" t="s">
        <v>298</v>
      </c>
      <c r="AA6" s="189" t="s">
        <v>297</v>
      </c>
      <c r="AB6" s="189" t="s">
        <v>295</v>
      </c>
      <c r="AC6" s="189" t="s">
        <v>294</v>
      </c>
      <c r="AD6" s="189" t="s">
        <v>292</v>
      </c>
      <c r="AE6" s="189" t="s">
        <v>281</v>
      </c>
      <c r="AF6" s="189" t="s">
        <v>280</v>
      </c>
      <c r="AG6" s="189" t="s">
        <v>279</v>
      </c>
      <c r="AH6" s="189" t="s">
        <v>278</v>
      </c>
      <c r="AI6" s="189" t="s">
        <v>277</v>
      </c>
      <c r="AJ6" s="189" t="s">
        <v>274</v>
      </c>
      <c r="AK6" s="189" t="s">
        <v>271</v>
      </c>
      <c r="AL6" s="189" t="s">
        <v>266</v>
      </c>
      <c r="AM6" s="189" t="s">
        <v>264</v>
      </c>
      <c r="AN6" s="189" t="s">
        <v>261</v>
      </c>
      <c r="AO6" s="189" t="s">
        <v>259</v>
      </c>
      <c r="AP6" s="189" t="s">
        <v>258</v>
      </c>
      <c r="AQ6" s="189" t="s">
        <v>257</v>
      </c>
      <c r="AR6" s="189" t="s">
        <v>240</v>
      </c>
      <c r="AS6" s="189" t="s">
        <v>219</v>
      </c>
      <c r="AT6" s="189" t="s">
        <v>217</v>
      </c>
      <c r="AU6" s="189" t="s">
        <v>216</v>
      </c>
      <c r="AV6" s="189" t="s">
        <v>176</v>
      </c>
      <c r="AW6" s="189" t="s">
        <v>174</v>
      </c>
      <c r="AX6" s="189" t="s">
        <v>173</v>
      </c>
      <c r="AY6" s="189" t="s">
        <v>173</v>
      </c>
      <c r="AZ6" s="189" t="s">
        <v>172</v>
      </c>
      <c r="BA6" s="189" t="s">
        <v>170</v>
      </c>
      <c r="BB6" s="189" t="s">
        <v>169</v>
      </c>
      <c r="BC6" s="189" t="s">
        <v>168</v>
      </c>
      <c r="BD6" s="189" t="s">
        <v>163</v>
      </c>
      <c r="BE6" s="189" t="s">
        <v>161</v>
      </c>
      <c r="BF6" s="28" t="s">
        <v>159</v>
      </c>
      <c r="BG6" s="28" t="s">
        <v>158</v>
      </c>
      <c r="BH6" s="28" t="s">
        <v>157</v>
      </c>
      <c r="BI6" s="28">
        <v>2005</v>
      </c>
      <c r="BJ6" s="28" t="s">
        <v>148</v>
      </c>
      <c r="BK6" s="28" t="s">
        <v>147</v>
      </c>
      <c r="BL6" s="28" t="s">
        <v>146</v>
      </c>
      <c r="BM6" s="28" t="s">
        <v>109</v>
      </c>
      <c r="BN6" s="28">
        <v>2004</v>
      </c>
      <c r="BO6" s="28" t="s">
        <v>105</v>
      </c>
      <c r="BP6" s="28" t="s">
        <v>104</v>
      </c>
      <c r="BQ6" s="28" t="s">
        <v>103</v>
      </c>
      <c r="BR6" s="28" t="s">
        <v>101</v>
      </c>
    </row>
    <row r="7" spans="1:70" s="32" customFormat="1" ht="15" customHeight="1">
      <c r="A7" s="132"/>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48"/>
      <c r="BG7" s="48"/>
      <c r="BH7" s="48"/>
      <c r="BI7" s="48"/>
      <c r="BJ7" s="48"/>
      <c r="BK7" s="48"/>
      <c r="BL7" s="48"/>
      <c r="BM7" s="48"/>
      <c r="BN7" s="48"/>
      <c r="BO7" s="48"/>
      <c r="BP7" s="48"/>
      <c r="BQ7" s="48"/>
      <c r="BR7" s="48"/>
    </row>
    <row r="8" spans="1:70" s="73" customFormat="1" ht="15" customHeight="1">
      <c r="A8" s="27" t="s">
        <v>117</v>
      </c>
      <c r="B8" s="27" t="s">
        <v>110</v>
      </c>
      <c r="C8" s="124" t="str">
        <f aca="true" t="shared" si="0" ref="C8:C22">IF($B$1=1,B8,A8)</f>
        <v>Nettorenteindtægter</v>
      </c>
      <c r="D8" s="257">
        <v>5541</v>
      </c>
      <c r="E8" s="257">
        <v>5445</v>
      </c>
      <c r="F8" s="257">
        <v>5371</v>
      </c>
      <c r="G8" s="257">
        <v>5520</v>
      </c>
      <c r="H8" s="257">
        <v>5895</v>
      </c>
      <c r="I8" s="257">
        <v>5852</v>
      </c>
      <c r="J8" s="257">
        <v>5878</v>
      </c>
      <c r="K8" s="257">
        <v>5946</v>
      </c>
      <c r="L8" s="257">
        <v>6108</v>
      </c>
      <c r="M8" s="257">
        <v>6050</v>
      </c>
      <c r="N8" s="257">
        <v>5783</v>
      </c>
      <c r="O8" s="257">
        <v>5866</v>
      </c>
      <c r="P8" s="257">
        <v>5927</v>
      </c>
      <c r="Q8" s="257">
        <v>5616</v>
      </c>
      <c r="R8" s="257">
        <v>5602</v>
      </c>
      <c r="S8" s="257">
        <v>5347</v>
      </c>
      <c r="T8" s="257">
        <v>5279</v>
      </c>
      <c r="U8" s="257">
        <v>5323</v>
      </c>
      <c r="V8" s="257">
        <v>5499</v>
      </c>
      <c r="W8" s="257">
        <v>5301</v>
      </c>
      <c r="X8" s="257">
        <v>5742</v>
      </c>
      <c r="Y8" s="257">
        <v>5735</v>
      </c>
      <c r="Z8" s="257">
        <v>5681</v>
      </c>
      <c r="AA8" s="257">
        <v>5155</v>
      </c>
      <c r="AB8" s="249">
        <v>5640</v>
      </c>
      <c r="AC8" s="249">
        <v>5561</v>
      </c>
      <c r="AD8" s="249">
        <v>5464</v>
      </c>
      <c r="AE8" s="249">
        <v>5412</v>
      </c>
      <c r="AF8" s="249">
        <v>5713</v>
      </c>
      <c r="AG8" s="249">
        <v>5698</v>
      </c>
      <c r="AH8" s="249">
        <v>5717</v>
      </c>
      <c r="AI8" s="249">
        <v>5650</v>
      </c>
      <c r="AJ8" s="221">
        <v>6182</v>
      </c>
      <c r="AK8" s="221">
        <v>6016</v>
      </c>
      <c r="AL8" s="221">
        <v>5785</v>
      </c>
      <c r="AM8" s="230">
        <v>5554</v>
      </c>
      <c r="AN8" s="230">
        <v>6069</v>
      </c>
      <c r="AO8" s="218">
        <v>5840</v>
      </c>
      <c r="AP8" s="191">
        <v>5927</v>
      </c>
      <c r="AQ8" s="191">
        <v>6007</v>
      </c>
      <c r="AR8" s="191">
        <v>6765</v>
      </c>
      <c r="AS8" s="191">
        <v>6625</v>
      </c>
      <c r="AT8" s="191">
        <v>6907</v>
      </c>
      <c r="AU8" s="191">
        <v>7227</v>
      </c>
      <c r="AV8" s="191">
        <v>7365</v>
      </c>
      <c r="AW8" s="191">
        <v>6739</v>
      </c>
      <c r="AX8" s="191">
        <v>6665</v>
      </c>
      <c r="AY8" s="191">
        <v>6665</v>
      </c>
      <c r="AZ8" s="191">
        <v>6236</v>
      </c>
      <c r="BA8" s="191">
        <v>6320</v>
      </c>
      <c r="BB8" s="191">
        <v>6267</v>
      </c>
      <c r="BC8" s="191">
        <v>6074</v>
      </c>
      <c r="BD8" s="191">
        <v>5730</v>
      </c>
      <c r="BE8" s="191">
        <v>5291</v>
      </c>
      <c r="BF8" s="176">
        <v>4924</v>
      </c>
      <c r="BG8" s="37">
        <v>4762</v>
      </c>
      <c r="BH8" s="37">
        <v>4524</v>
      </c>
      <c r="BI8" s="37">
        <v>17166</v>
      </c>
      <c r="BJ8" s="37">
        <v>4432</v>
      </c>
      <c r="BK8" s="37">
        <v>4462</v>
      </c>
      <c r="BL8" s="37">
        <v>4270</v>
      </c>
      <c r="BM8" s="37">
        <v>4002</v>
      </c>
      <c r="BN8" s="37">
        <v>14752</v>
      </c>
      <c r="BO8" s="107">
        <v>3739</v>
      </c>
      <c r="BP8" s="37">
        <v>3661</v>
      </c>
      <c r="BQ8" s="107">
        <v>3719</v>
      </c>
      <c r="BR8" s="37">
        <v>3633</v>
      </c>
    </row>
    <row r="9" spans="1:70" s="73" customFormat="1" ht="15" customHeight="1">
      <c r="A9" s="27" t="s">
        <v>145</v>
      </c>
      <c r="B9" s="27" t="s">
        <v>111</v>
      </c>
      <c r="C9" s="124" t="str">
        <f t="shared" si="0"/>
        <v>Nettogebyrindtægter</v>
      </c>
      <c r="D9" s="257">
        <v>4214</v>
      </c>
      <c r="E9" s="257">
        <v>4111</v>
      </c>
      <c r="F9" s="257">
        <v>3701</v>
      </c>
      <c r="G9" s="257">
        <v>3869</v>
      </c>
      <c r="H9" s="257">
        <v>4078</v>
      </c>
      <c r="I9" s="257">
        <v>3777</v>
      </c>
      <c r="J9" s="257">
        <v>3786</v>
      </c>
      <c r="K9" s="257">
        <v>3762</v>
      </c>
      <c r="L9" s="257">
        <v>4345</v>
      </c>
      <c r="M9" s="257">
        <v>3572</v>
      </c>
      <c r="N9" s="257">
        <v>3819</v>
      </c>
      <c r="O9" s="257">
        <v>3928</v>
      </c>
      <c r="P9" s="257">
        <v>4113</v>
      </c>
      <c r="Q9" s="257">
        <v>3480</v>
      </c>
      <c r="R9" s="257">
        <v>3426</v>
      </c>
      <c r="S9" s="257">
        <v>3450</v>
      </c>
      <c r="T9" s="257">
        <v>4041</v>
      </c>
      <c r="U9" s="257">
        <v>3458</v>
      </c>
      <c r="V9" s="257">
        <v>3812</v>
      </c>
      <c r="W9" s="257">
        <v>3707</v>
      </c>
      <c r="X9" s="257">
        <v>3153</v>
      </c>
      <c r="Y9" s="257">
        <v>2793</v>
      </c>
      <c r="Z9" s="257">
        <v>2643</v>
      </c>
      <c r="AA9" s="257">
        <v>2564</v>
      </c>
      <c r="AB9" s="249">
        <v>2763</v>
      </c>
      <c r="AC9" s="249">
        <v>2261</v>
      </c>
      <c r="AD9" s="249">
        <v>2192</v>
      </c>
      <c r="AE9" s="249">
        <v>2252</v>
      </c>
      <c r="AF9" s="249">
        <v>2671</v>
      </c>
      <c r="AG9" s="249">
        <v>2134</v>
      </c>
      <c r="AH9" s="249">
        <v>2049</v>
      </c>
      <c r="AI9" s="249">
        <v>2012</v>
      </c>
      <c r="AJ9" s="221">
        <v>2218</v>
      </c>
      <c r="AK9" s="221">
        <v>1938</v>
      </c>
      <c r="AL9" s="221">
        <v>2049</v>
      </c>
      <c r="AM9" s="230">
        <v>2093</v>
      </c>
      <c r="AN9" s="230">
        <v>2325</v>
      </c>
      <c r="AO9" s="218">
        <v>2069</v>
      </c>
      <c r="AP9" s="191">
        <v>2068</v>
      </c>
      <c r="AQ9" s="191">
        <v>2048</v>
      </c>
      <c r="AR9" s="191">
        <v>2077</v>
      </c>
      <c r="AS9" s="191">
        <v>1918</v>
      </c>
      <c r="AT9" s="191">
        <v>1920</v>
      </c>
      <c r="AU9" s="191">
        <v>1763</v>
      </c>
      <c r="AV9" s="191">
        <v>1944</v>
      </c>
      <c r="AW9" s="191">
        <v>1895</v>
      </c>
      <c r="AX9" s="191">
        <v>2058</v>
      </c>
      <c r="AY9" s="191">
        <v>2058</v>
      </c>
      <c r="AZ9" s="191">
        <v>2213</v>
      </c>
      <c r="BA9" s="191">
        <v>2330</v>
      </c>
      <c r="BB9" s="191">
        <v>2265</v>
      </c>
      <c r="BC9" s="191">
        <v>2336</v>
      </c>
      <c r="BD9" s="191">
        <v>2235</v>
      </c>
      <c r="BE9" s="191">
        <v>1880</v>
      </c>
      <c r="BF9" s="176">
        <v>1651</v>
      </c>
      <c r="BG9" s="37">
        <v>1806</v>
      </c>
      <c r="BH9" s="37">
        <v>1964</v>
      </c>
      <c r="BI9" s="37">
        <v>7289</v>
      </c>
      <c r="BJ9" s="37">
        <v>2004</v>
      </c>
      <c r="BK9" s="37">
        <v>1880</v>
      </c>
      <c r="BL9" s="37">
        <v>1812</v>
      </c>
      <c r="BM9" s="37">
        <v>1592</v>
      </c>
      <c r="BN9" s="37">
        <v>5898</v>
      </c>
      <c r="BO9" s="107">
        <v>1581</v>
      </c>
      <c r="BP9" s="37">
        <v>1351</v>
      </c>
      <c r="BQ9" s="107">
        <v>1463</v>
      </c>
      <c r="BR9" s="37">
        <v>1503</v>
      </c>
    </row>
    <row r="10" spans="1:70" s="73" customFormat="1" ht="15" customHeight="1">
      <c r="A10" s="27" t="s">
        <v>118</v>
      </c>
      <c r="B10" s="27" t="s">
        <v>112</v>
      </c>
      <c r="C10" s="124" t="str">
        <f t="shared" si="0"/>
        <v>Handelsindtægter</v>
      </c>
      <c r="D10" s="257">
        <v>2078</v>
      </c>
      <c r="E10" s="257">
        <v>779</v>
      </c>
      <c r="F10" s="257">
        <v>829</v>
      </c>
      <c r="G10" s="257">
        <v>1299</v>
      </c>
      <c r="H10" s="257">
        <v>938</v>
      </c>
      <c r="I10" s="257">
        <v>1236</v>
      </c>
      <c r="J10" s="257">
        <v>1066</v>
      </c>
      <c r="K10" s="257">
        <v>1435</v>
      </c>
      <c r="L10" s="257">
        <v>1346</v>
      </c>
      <c r="M10" s="257">
        <v>1595</v>
      </c>
      <c r="N10" s="257">
        <v>1647</v>
      </c>
      <c r="O10" s="257">
        <v>2500</v>
      </c>
      <c r="P10" s="257">
        <v>2105</v>
      </c>
      <c r="Q10" s="257">
        <v>2359</v>
      </c>
      <c r="R10" s="257">
        <v>1953</v>
      </c>
      <c r="S10" s="257">
        <v>1441</v>
      </c>
      <c r="T10" s="257">
        <v>1500</v>
      </c>
      <c r="U10" s="257">
        <v>954</v>
      </c>
      <c r="V10" s="257">
        <v>1371</v>
      </c>
      <c r="W10" s="257">
        <v>3023</v>
      </c>
      <c r="X10" s="257">
        <v>928</v>
      </c>
      <c r="Y10" s="257">
        <v>1613</v>
      </c>
      <c r="Z10" s="257">
        <v>2251</v>
      </c>
      <c r="AA10" s="257">
        <v>1901</v>
      </c>
      <c r="AB10" s="249">
        <v>1467</v>
      </c>
      <c r="AC10" s="249">
        <v>413</v>
      </c>
      <c r="AD10" s="249">
        <v>2148</v>
      </c>
      <c r="AE10" s="249">
        <v>1771</v>
      </c>
      <c r="AF10" s="249">
        <v>1830</v>
      </c>
      <c r="AG10" s="249">
        <v>2199</v>
      </c>
      <c r="AH10" s="249">
        <v>2895</v>
      </c>
      <c r="AI10" s="249">
        <v>3638</v>
      </c>
      <c r="AJ10" s="221">
        <v>1638</v>
      </c>
      <c r="AK10" s="221">
        <v>267</v>
      </c>
      <c r="AL10" s="221">
        <v>2445</v>
      </c>
      <c r="AM10" s="230">
        <v>2975</v>
      </c>
      <c r="AN10" s="230">
        <v>795</v>
      </c>
      <c r="AO10" s="218">
        <v>1930</v>
      </c>
      <c r="AP10" s="191">
        <v>2817</v>
      </c>
      <c r="AQ10" s="191">
        <v>2379</v>
      </c>
      <c r="AR10" s="191">
        <v>1961</v>
      </c>
      <c r="AS10" s="191">
        <v>3886</v>
      </c>
      <c r="AT10" s="191">
        <v>4918</v>
      </c>
      <c r="AU10" s="191">
        <v>7479</v>
      </c>
      <c r="AV10" s="191">
        <v>2190</v>
      </c>
      <c r="AW10" s="191">
        <v>368</v>
      </c>
      <c r="AX10" s="191">
        <v>2160</v>
      </c>
      <c r="AY10" s="191">
        <v>2160</v>
      </c>
      <c r="AZ10" s="191">
        <v>1358</v>
      </c>
      <c r="BA10" s="191">
        <v>1522</v>
      </c>
      <c r="BB10" s="191">
        <v>1855</v>
      </c>
      <c r="BC10" s="191">
        <v>2167</v>
      </c>
      <c r="BD10" s="191">
        <v>1834</v>
      </c>
      <c r="BE10" s="191">
        <v>1537</v>
      </c>
      <c r="BF10" s="176">
        <v>1627</v>
      </c>
      <c r="BG10" s="37">
        <v>1543</v>
      </c>
      <c r="BH10" s="37">
        <v>1924</v>
      </c>
      <c r="BI10" s="37">
        <v>6351</v>
      </c>
      <c r="BJ10" s="37">
        <v>1566</v>
      </c>
      <c r="BK10" s="37">
        <v>1493</v>
      </c>
      <c r="BL10" s="37">
        <v>1695</v>
      </c>
      <c r="BM10" s="37">
        <v>1597</v>
      </c>
      <c r="BN10" s="37">
        <v>4877</v>
      </c>
      <c r="BO10" s="107">
        <v>1607</v>
      </c>
      <c r="BP10" s="37">
        <v>964</v>
      </c>
      <c r="BQ10" s="107">
        <v>880</v>
      </c>
      <c r="BR10" s="37">
        <v>1426</v>
      </c>
    </row>
    <row r="11" spans="1:70" s="73" customFormat="1" ht="15" customHeight="1">
      <c r="A11" s="27" t="s">
        <v>119</v>
      </c>
      <c r="B11" s="27" t="s">
        <v>113</v>
      </c>
      <c r="C11" s="124" t="str">
        <f t="shared" si="0"/>
        <v>Øvrige indtægter</v>
      </c>
      <c r="D11" s="257">
        <v>320</v>
      </c>
      <c r="E11" s="257">
        <v>160</v>
      </c>
      <c r="F11" s="257">
        <v>1630</v>
      </c>
      <c r="G11" s="257">
        <v>115</v>
      </c>
      <c r="H11" s="257">
        <v>20</v>
      </c>
      <c r="I11" s="257">
        <v>235</v>
      </c>
      <c r="J11" s="257">
        <v>152</v>
      </c>
      <c r="K11" s="257">
        <v>309</v>
      </c>
      <c r="L11" s="257">
        <v>420</v>
      </c>
      <c r="M11" s="257">
        <v>328</v>
      </c>
      <c r="N11" s="257">
        <v>487</v>
      </c>
      <c r="O11" s="257">
        <v>356</v>
      </c>
      <c r="P11" s="257">
        <v>757</v>
      </c>
      <c r="Q11" s="257">
        <v>589</v>
      </c>
      <c r="R11" s="257">
        <v>562</v>
      </c>
      <c r="S11" s="257">
        <v>1231</v>
      </c>
      <c r="T11" s="257">
        <v>768</v>
      </c>
      <c r="U11" s="257">
        <v>449</v>
      </c>
      <c r="V11" s="257">
        <v>622</v>
      </c>
      <c r="W11" s="257">
        <v>504</v>
      </c>
      <c r="X11" s="257">
        <v>366</v>
      </c>
      <c r="Y11" s="257">
        <v>304</v>
      </c>
      <c r="Z11" s="257">
        <v>365</v>
      </c>
      <c r="AA11" s="257">
        <v>309</v>
      </c>
      <c r="AB11" s="249">
        <v>300</v>
      </c>
      <c r="AC11" s="249">
        <v>333</v>
      </c>
      <c r="AD11" s="249">
        <v>373</v>
      </c>
      <c r="AE11" s="249">
        <v>302</v>
      </c>
      <c r="AF11" s="249">
        <v>306</v>
      </c>
      <c r="AG11" s="249">
        <v>333</v>
      </c>
      <c r="AH11" s="249">
        <v>325</v>
      </c>
      <c r="AI11" s="249">
        <v>321</v>
      </c>
      <c r="AJ11" s="221">
        <v>849</v>
      </c>
      <c r="AK11" s="221">
        <v>825</v>
      </c>
      <c r="AL11" s="221">
        <v>972</v>
      </c>
      <c r="AM11" s="230">
        <v>1002</v>
      </c>
      <c r="AN11" s="230">
        <v>1013</v>
      </c>
      <c r="AO11" s="218">
        <v>703</v>
      </c>
      <c r="AP11" s="191">
        <v>1091</v>
      </c>
      <c r="AQ11" s="191">
        <v>1050</v>
      </c>
      <c r="AR11" s="191">
        <v>872</v>
      </c>
      <c r="AS11" s="191">
        <v>703</v>
      </c>
      <c r="AT11" s="191">
        <v>861</v>
      </c>
      <c r="AU11" s="191">
        <v>647</v>
      </c>
      <c r="AV11" s="191">
        <v>940</v>
      </c>
      <c r="AW11" s="191">
        <v>677</v>
      </c>
      <c r="AX11" s="191">
        <v>931</v>
      </c>
      <c r="AY11" s="191">
        <v>931</v>
      </c>
      <c r="AZ11" s="191">
        <v>1037</v>
      </c>
      <c r="BA11" s="191">
        <v>872</v>
      </c>
      <c r="BB11" s="191">
        <v>586</v>
      </c>
      <c r="BC11" s="191">
        <v>679</v>
      </c>
      <c r="BD11" s="191">
        <v>873</v>
      </c>
      <c r="BE11" s="191">
        <v>789</v>
      </c>
      <c r="BF11" s="176">
        <v>675</v>
      </c>
      <c r="BG11" s="37">
        <v>721</v>
      </c>
      <c r="BH11" s="37">
        <v>513</v>
      </c>
      <c r="BI11" s="37">
        <v>2255</v>
      </c>
      <c r="BJ11" s="37">
        <v>599</v>
      </c>
      <c r="BK11" s="37">
        <v>577</v>
      </c>
      <c r="BL11" s="37">
        <v>588</v>
      </c>
      <c r="BM11" s="37">
        <v>492</v>
      </c>
      <c r="BN11" s="37">
        <v>2029</v>
      </c>
      <c r="BO11" s="107">
        <v>823</v>
      </c>
      <c r="BP11" s="37">
        <v>374</v>
      </c>
      <c r="BQ11" s="107">
        <v>389</v>
      </c>
      <c r="BR11" s="37">
        <v>443</v>
      </c>
    </row>
    <row r="12" spans="1:70" s="73" customFormat="1" ht="15" customHeight="1">
      <c r="A12" s="27" t="s">
        <v>120</v>
      </c>
      <c r="B12" s="27" t="s">
        <v>114</v>
      </c>
      <c r="C12" s="124" t="str">
        <f t="shared" si="0"/>
        <v>Indtjening fra forsikringsaktiviteter</v>
      </c>
      <c r="D12" s="268" t="s">
        <v>171</v>
      </c>
      <c r="E12" s="268" t="s">
        <v>171</v>
      </c>
      <c r="F12" s="268" t="s">
        <v>171</v>
      </c>
      <c r="G12" s="268" t="s">
        <v>171</v>
      </c>
      <c r="H12" s="268" t="s">
        <v>171</v>
      </c>
      <c r="I12" s="268" t="s">
        <v>171</v>
      </c>
      <c r="J12" s="268" t="s">
        <v>171</v>
      </c>
      <c r="K12" s="268" t="s">
        <v>171</v>
      </c>
      <c r="L12" s="268" t="s">
        <v>171</v>
      </c>
      <c r="M12" s="268" t="s">
        <v>171</v>
      </c>
      <c r="N12" s="268" t="s">
        <v>171</v>
      </c>
      <c r="O12" s="268" t="s">
        <v>171</v>
      </c>
      <c r="P12" s="268" t="s">
        <v>171</v>
      </c>
      <c r="Q12" s="268" t="s">
        <v>171</v>
      </c>
      <c r="R12" s="268" t="s">
        <v>171</v>
      </c>
      <c r="S12" s="268" t="s">
        <v>171</v>
      </c>
      <c r="T12" s="268" t="s">
        <v>171</v>
      </c>
      <c r="U12" s="268" t="s">
        <v>171</v>
      </c>
      <c r="V12" s="268" t="s">
        <v>171</v>
      </c>
      <c r="W12" s="268" t="s">
        <v>171</v>
      </c>
      <c r="X12" s="258">
        <v>1078</v>
      </c>
      <c r="Y12" s="258">
        <v>491</v>
      </c>
      <c r="Z12" s="258">
        <v>576</v>
      </c>
      <c r="AA12" s="258">
        <v>351</v>
      </c>
      <c r="AB12" s="250">
        <v>614</v>
      </c>
      <c r="AC12" s="250">
        <v>479</v>
      </c>
      <c r="AD12" s="250">
        <v>-346</v>
      </c>
      <c r="AE12" s="250">
        <v>341</v>
      </c>
      <c r="AF12" s="250">
        <v>925</v>
      </c>
      <c r="AG12" s="250">
        <v>403</v>
      </c>
      <c r="AH12" s="250">
        <v>679</v>
      </c>
      <c r="AI12" s="250">
        <v>164</v>
      </c>
      <c r="AJ12" s="242">
        <v>976</v>
      </c>
      <c r="AK12" s="242" t="s">
        <v>273</v>
      </c>
      <c r="AL12" s="222">
        <v>261</v>
      </c>
      <c r="AM12" s="232">
        <v>67</v>
      </c>
      <c r="AN12" s="230">
        <v>685</v>
      </c>
      <c r="AO12" s="218">
        <v>705</v>
      </c>
      <c r="AP12" s="191">
        <v>153</v>
      </c>
      <c r="AQ12" s="191">
        <v>603</v>
      </c>
      <c r="AR12" s="191">
        <v>1779</v>
      </c>
      <c r="AS12" s="191">
        <v>470</v>
      </c>
      <c r="AT12" s="191">
        <v>470</v>
      </c>
      <c r="AU12" s="191">
        <v>91</v>
      </c>
      <c r="AV12" s="191">
        <v>-403</v>
      </c>
      <c r="AW12" s="191">
        <v>-493</v>
      </c>
      <c r="AX12" s="191">
        <v>-272</v>
      </c>
      <c r="AY12" s="191">
        <v>-272</v>
      </c>
      <c r="AZ12" s="191">
        <v>-565</v>
      </c>
      <c r="BA12" s="191">
        <v>180</v>
      </c>
      <c r="BB12" s="191">
        <v>269</v>
      </c>
      <c r="BC12" s="191">
        <v>358</v>
      </c>
      <c r="BD12" s="191">
        <v>311</v>
      </c>
      <c r="BE12" s="191">
        <v>554</v>
      </c>
      <c r="BF12" s="176">
        <v>768</v>
      </c>
      <c r="BG12" s="37">
        <v>-165</v>
      </c>
      <c r="BH12" s="37">
        <v>198</v>
      </c>
      <c r="BI12" s="37">
        <v>1647</v>
      </c>
      <c r="BJ12" s="37">
        <v>568</v>
      </c>
      <c r="BK12" s="37">
        <v>358</v>
      </c>
      <c r="BL12" s="37">
        <v>365</v>
      </c>
      <c r="BM12" s="37">
        <v>356</v>
      </c>
      <c r="BN12" s="37">
        <v>1631</v>
      </c>
      <c r="BO12" s="107">
        <v>761</v>
      </c>
      <c r="BP12" s="37">
        <v>366</v>
      </c>
      <c r="BQ12" s="107">
        <v>192</v>
      </c>
      <c r="BR12" s="37">
        <v>312</v>
      </c>
    </row>
    <row r="13" spans="1:70" s="73" customFormat="1" ht="15" customHeight="1">
      <c r="A13" s="27" t="s">
        <v>121</v>
      </c>
      <c r="B13" s="27" t="s">
        <v>107</v>
      </c>
      <c r="C13" s="162" t="str">
        <f t="shared" si="0"/>
        <v>Indtægter i alt</v>
      </c>
      <c r="D13" s="257">
        <v>12153</v>
      </c>
      <c r="E13" s="257">
        <v>10495</v>
      </c>
      <c r="F13" s="257">
        <v>11532</v>
      </c>
      <c r="G13" s="257">
        <v>10802</v>
      </c>
      <c r="H13" s="257">
        <v>10931</v>
      </c>
      <c r="I13" s="257">
        <v>11100</v>
      </c>
      <c r="J13" s="257">
        <v>10881</v>
      </c>
      <c r="K13" s="257">
        <v>11452</v>
      </c>
      <c r="L13" s="257">
        <v>12219</v>
      </c>
      <c r="M13" s="257">
        <v>11544</v>
      </c>
      <c r="N13" s="257">
        <v>11736</v>
      </c>
      <c r="O13" s="257">
        <v>12649</v>
      </c>
      <c r="P13" s="257">
        <v>12902</v>
      </c>
      <c r="Q13" s="257">
        <v>12044</v>
      </c>
      <c r="R13" s="257">
        <v>11543</v>
      </c>
      <c r="S13" s="257">
        <v>11469</v>
      </c>
      <c r="T13" s="257">
        <v>11588</v>
      </c>
      <c r="U13" s="257">
        <v>10184</v>
      </c>
      <c r="V13" s="257">
        <v>11304</v>
      </c>
      <c r="W13" s="257">
        <v>12535</v>
      </c>
      <c r="X13" s="257">
        <v>11267</v>
      </c>
      <c r="Y13" s="257">
        <v>10936</v>
      </c>
      <c r="Z13" s="257">
        <v>11516</v>
      </c>
      <c r="AA13" s="257">
        <v>10281</v>
      </c>
      <c r="AB13" s="249">
        <v>10784</v>
      </c>
      <c r="AC13" s="249">
        <v>9049</v>
      </c>
      <c r="AD13" s="249">
        <v>9830</v>
      </c>
      <c r="AE13" s="249">
        <v>10077</v>
      </c>
      <c r="AF13" s="249">
        <v>11445</v>
      </c>
      <c r="AG13" s="249">
        <v>10767</v>
      </c>
      <c r="AH13" s="249">
        <v>11665</v>
      </c>
      <c r="AI13" s="249">
        <v>11785</v>
      </c>
      <c r="AJ13" s="221">
        <v>11863</v>
      </c>
      <c r="AK13" s="221">
        <v>8311</v>
      </c>
      <c r="AL13" s="221">
        <v>11512</v>
      </c>
      <c r="AM13" s="230">
        <v>11691</v>
      </c>
      <c r="AN13" s="231">
        <f>SUM(AN8:AN12)</f>
        <v>10887</v>
      </c>
      <c r="AO13" s="219">
        <v>11247</v>
      </c>
      <c r="AP13" s="192">
        <v>12056</v>
      </c>
      <c r="AQ13" s="192">
        <v>12087</v>
      </c>
      <c r="AR13" s="192">
        <v>13454</v>
      </c>
      <c r="AS13" s="192">
        <v>13602</v>
      </c>
      <c r="AT13" s="192">
        <v>15076</v>
      </c>
      <c r="AU13" s="192">
        <v>17207</v>
      </c>
      <c r="AV13" s="192">
        <v>12036</v>
      </c>
      <c r="AW13" s="192">
        <v>9186</v>
      </c>
      <c r="AX13" s="192">
        <v>11542</v>
      </c>
      <c r="AY13" s="192">
        <v>11542</v>
      </c>
      <c r="AZ13" s="192">
        <v>10279</v>
      </c>
      <c r="BA13" s="192">
        <v>11224</v>
      </c>
      <c r="BB13" s="192">
        <v>11242</v>
      </c>
      <c r="BC13" s="192">
        <v>11614</v>
      </c>
      <c r="BD13" s="192">
        <v>10983</v>
      </c>
      <c r="BE13" s="192">
        <v>10051</v>
      </c>
      <c r="BF13" s="177">
        <v>9645</v>
      </c>
      <c r="BG13" s="163">
        <v>8667</v>
      </c>
      <c r="BH13" s="163">
        <v>9123</v>
      </c>
      <c r="BI13" s="163">
        <v>34708</v>
      </c>
      <c r="BJ13" s="163">
        <v>9169</v>
      </c>
      <c r="BK13" s="163">
        <v>8770</v>
      </c>
      <c r="BL13" s="163">
        <v>8730</v>
      </c>
      <c r="BM13" s="163">
        <v>8039</v>
      </c>
      <c r="BN13" s="163">
        <v>29187</v>
      </c>
      <c r="BO13" s="164">
        <v>8511</v>
      </c>
      <c r="BP13" s="163">
        <v>6716</v>
      </c>
      <c r="BQ13" s="164">
        <v>6643</v>
      </c>
      <c r="BR13" s="163">
        <v>7317</v>
      </c>
    </row>
    <row r="14" spans="1:70" s="73" customFormat="1" ht="15" customHeight="1">
      <c r="A14" s="27" t="s">
        <v>243</v>
      </c>
      <c r="B14" s="27" t="s">
        <v>244</v>
      </c>
      <c r="C14" s="165" t="str">
        <f t="shared" si="0"/>
        <v>Omkostninger</v>
      </c>
      <c r="D14" s="258">
        <f>8342+1603</f>
        <v>9945</v>
      </c>
      <c r="E14" s="258">
        <v>6382</v>
      </c>
      <c r="F14" s="258">
        <v>6679</v>
      </c>
      <c r="G14" s="258">
        <v>6145</v>
      </c>
      <c r="H14" s="258">
        <v>6243</v>
      </c>
      <c r="I14" s="258">
        <v>7367</v>
      </c>
      <c r="J14" s="258">
        <v>5788</v>
      </c>
      <c r="K14" s="258">
        <v>5612</v>
      </c>
      <c r="L14" s="258">
        <v>5757</v>
      </c>
      <c r="M14" s="258">
        <v>5480</v>
      </c>
      <c r="N14" s="258">
        <v>5760</v>
      </c>
      <c r="O14" s="258">
        <v>5724</v>
      </c>
      <c r="P14" s="258">
        <v>6056</v>
      </c>
      <c r="Q14" s="258">
        <v>5471</v>
      </c>
      <c r="R14" s="258">
        <v>5805</v>
      </c>
      <c r="S14" s="258">
        <v>5310</v>
      </c>
      <c r="T14" s="258">
        <f>6273+4601</f>
        <v>10874</v>
      </c>
      <c r="U14" s="258">
        <v>5554</v>
      </c>
      <c r="V14" s="258">
        <v>5649</v>
      </c>
      <c r="W14" s="258">
        <v>5761</v>
      </c>
      <c r="X14" s="258">
        <f>6090+9099</f>
        <v>15189</v>
      </c>
      <c r="Y14" s="258">
        <v>5530</v>
      </c>
      <c r="Z14" s="258">
        <v>5589</v>
      </c>
      <c r="AA14" s="258">
        <v>5432</v>
      </c>
      <c r="AB14" s="250">
        <v>6587</v>
      </c>
      <c r="AC14" s="250">
        <v>5460</v>
      </c>
      <c r="AD14" s="250">
        <v>5943</v>
      </c>
      <c r="AE14" s="250">
        <v>5804</v>
      </c>
      <c r="AF14" s="250">
        <v>6591</v>
      </c>
      <c r="AG14" s="250">
        <v>5680</v>
      </c>
      <c r="AH14" s="250">
        <v>6047</v>
      </c>
      <c r="AI14" s="250">
        <v>6324</v>
      </c>
      <c r="AJ14" s="222">
        <v>6459</v>
      </c>
      <c r="AK14" s="222">
        <v>5499</v>
      </c>
      <c r="AL14" s="222">
        <v>6678</v>
      </c>
      <c r="AM14" s="232">
        <v>7351</v>
      </c>
      <c r="AN14" s="232">
        <v>6457</v>
      </c>
      <c r="AO14" s="220">
        <v>6294</v>
      </c>
      <c r="AP14" s="193">
        <v>6836</v>
      </c>
      <c r="AQ14" s="193">
        <v>6423</v>
      </c>
      <c r="AR14" s="193">
        <v>7184</v>
      </c>
      <c r="AS14" s="193">
        <v>6338</v>
      </c>
      <c r="AT14" s="193">
        <v>8489</v>
      </c>
      <c r="AU14" s="193">
        <v>6896</v>
      </c>
      <c r="AV14" s="193">
        <v>9964</v>
      </c>
      <c r="AW14" s="193">
        <v>5829</v>
      </c>
      <c r="AX14" s="193">
        <v>6610</v>
      </c>
      <c r="AY14" s="193">
        <v>6610</v>
      </c>
      <c r="AZ14" s="193">
        <v>6323</v>
      </c>
      <c r="BA14" s="193">
        <v>6574</v>
      </c>
      <c r="BB14" s="193">
        <v>5966</v>
      </c>
      <c r="BC14" s="193">
        <v>6663</v>
      </c>
      <c r="BD14" s="193">
        <v>5867</v>
      </c>
      <c r="BE14" s="193">
        <v>5104</v>
      </c>
      <c r="BF14" s="178">
        <v>4642</v>
      </c>
      <c r="BG14" s="166">
        <v>4868</v>
      </c>
      <c r="BH14" s="166">
        <v>4871</v>
      </c>
      <c r="BI14" s="166">
        <v>18198</v>
      </c>
      <c r="BJ14" s="166">
        <v>4960</v>
      </c>
      <c r="BK14" s="166">
        <v>4580</v>
      </c>
      <c r="BL14" s="166">
        <v>4700</v>
      </c>
      <c r="BM14" s="166">
        <v>3958</v>
      </c>
      <c r="BN14" s="166">
        <v>15393</v>
      </c>
      <c r="BO14" s="167">
        <v>4370</v>
      </c>
      <c r="BP14" s="166">
        <v>3486</v>
      </c>
      <c r="BQ14" s="167">
        <v>3744</v>
      </c>
      <c r="BR14" s="166">
        <v>3793</v>
      </c>
    </row>
    <row r="15" spans="1:70" s="73" customFormat="1" ht="15" customHeight="1">
      <c r="A15" s="27" t="s">
        <v>179</v>
      </c>
      <c r="B15" s="27" t="s">
        <v>180</v>
      </c>
      <c r="C15" s="124" t="str">
        <f t="shared" si="0"/>
        <v>Resultat før nedskrivninger på udlån</v>
      </c>
      <c r="D15" s="257">
        <v>2208</v>
      </c>
      <c r="E15" s="257">
        <v>4113</v>
      </c>
      <c r="F15" s="257">
        <v>4852</v>
      </c>
      <c r="G15" s="257">
        <v>4657</v>
      </c>
      <c r="H15" s="257">
        <v>4688</v>
      </c>
      <c r="I15" s="257">
        <v>3733</v>
      </c>
      <c r="J15" s="257">
        <v>5094</v>
      </c>
      <c r="K15" s="257">
        <v>5841</v>
      </c>
      <c r="L15" s="257">
        <v>6462</v>
      </c>
      <c r="M15" s="257">
        <v>6064</v>
      </c>
      <c r="N15" s="257">
        <v>5976</v>
      </c>
      <c r="O15" s="257">
        <v>6925</v>
      </c>
      <c r="P15" s="257">
        <v>6847</v>
      </c>
      <c r="Q15" s="257">
        <v>6573</v>
      </c>
      <c r="R15" s="257">
        <v>5738</v>
      </c>
      <c r="S15" s="257">
        <v>6159</v>
      </c>
      <c r="T15" s="257">
        <v>714</v>
      </c>
      <c r="U15" s="257">
        <v>4630</v>
      </c>
      <c r="V15" s="257">
        <v>5655</v>
      </c>
      <c r="W15" s="257">
        <v>6774</v>
      </c>
      <c r="X15" s="257">
        <v>-3922</v>
      </c>
      <c r="Y15" s="257">
        <v>5406</v>
      </c>
      <c r="Z15" s="257">
        <v>5927</v>
      </c>
      <c r="AA15" s="257">
        <v>4849</v>
      </c>
      <c r="AB15" s="249">
        <v>4197</v>
      </c>
      <c r="AC15" s="249">
        <v>3589</v>
      </c>
      <c r="AD15" s="249">
        <v>3887</v>
      </c>
      <c r="AE15" s="249">
        <v>4274</v>
      </c>
      <c r="AF15" s="249">
        <v>4854</v>
      </c>
      <c r="AG15" s="249">
        <v>5087</v>
      </c>
      <c r="AH15" s="249">
        <v>5618</v>
      </c>
      <c r="AI15" s="249">
        <v>5461</v>
      </c>
      <c r="AJ15" s="221">
        <v>5404</v>
      </c>
      <c r="AK15" s="221">
        <v>2812</v>
      </c>
      <c r="AL15" s="221">
        <v>4834</v>
      </c>
      <c r="AM15" s="230">
        <v>4340</v>
      </c>
      <c r="AN15" s="230">
        <f>+AN13-AN14</f>
        <v>4430</v>
      </c>
      <c r="AO15" s="218">
        <v>4953</v>
      </c>
      <c r="AP15" s="191">
        <v>5220</v>
      </c>
      <c r="AQ15" s="191">
        <v>5664</v>
      </c>
      <c r="AR15" s="191">
        <v>6270</v>
      </c>
      <c r="AS15" s="191">
        <v>7264</v>
      </c>
      <c r="AT15" s="191">
        <v>6587</v>
      </c>
      <c r="AU15" s="191">
        <v>10311</v>
      </c>
      <c r="AV15" s="191">
        <v>2072</v>
      </c>
      <c r="AW15" s="191">
        <v>3357</v>
      </c>
      <c r="AX15" s="191">
        <v>4932</v>
      </c>
      <c r="AY15" s="191">
        <v>4932</v>
      </c>
      <c r="AZ15" s="191">
        <v>3956</v>
      </c>
      <c r="BA15" s="191">
        <v>4650</v>
      </c>
      <c r="BB15" s="191">
        <v>5276</v>
      </c>
      <c r="BC15" s="191">
        <v>4951</v>
      </c>
      <c r="BD15" s="191">
        <v>5116</v>
      </c>
      <c r="BE15" s="191">
        <v>4947</v>
      </c>
      <c r="BF15" s="176">
        <v>5003</v>
      </c>
      <c r="BG15" s="37">
        <v>3799</v>
      </c>
      <c r="BH15" s="37">
        <v>4252</v>
      </c>
      <c r="BI15" s="37">
        <v>16510</v>
      </c>
      <c r="BJ15" s="37">
        <v>4209</v>
      </c>
      <c r="BK15" s="37">
        <v>4190</v>
      </c>
      <c r="BL15" s="37">
        <v>4030</v>
      </c>
      <c r="BM15" s="37">
        <v>4081</v>
      </c>
      <c r="BN15" s="37">
        <v>13794</v>
      </c>
      <c r="BO15" s="37">
        <v>4141</v>
      </c>
      <c r="BP15" s="37">
        <v>3230</v>
      </c>
      <c r="BQ15" s="37">
        <v>2899</v>
      </c>
      <c r="BR15" s="37">
        <v>3524</v>
      </c>
    </row>
    <row r="16" spans="1:70" s="73" customFormat="1" ht="15" customHeight="1">
      <c r="A16" s="27" t="s">
        <v>178</v>
      </c>
      <c r="B16" s="27" t="s">
        <v>181</v>
      </c>
      <c r="C16" s="165" t="str">
        <f t="shared" si="0"/>
        <v>Nedskrivninger på udlån</v>
      </c>
      <c r="D16" s="258">
        <v>703</v>
      </c>
      <c r="E16" s="258">
        <v>343</v>
      </c>
      <c r="F16" s="258">
        <v>113</v>
      </c>
      <c r="G16" s="258">
        <v>357</v>
      </c>
      <c r="H16" s="258">
        <v>-43</v>
      </c>
      <c r="I16" s="258">
        <v>100</v>
      </c>
      <c r="J16" s="258">
        <v>-377</v>
      </c>
      <c r="K16" s="258">
        <v>-330</v>
      </c>
      <c r="L16" s="258">
        <v>-241</v>
      </c>
      <c r="M16" s="258">
        <v>-166</v>
      </c>
      <c r="N16" s="258">
        <v>-231</v>
      </c>
      <c r="O16" s="258">
        <v>-235</v>
      </c>
      <c r="P16" s="258">
        <v>-160</v>
      </c>
      <c r="Q16" s="258">
        <v>264</v>
      </c>
      <c r="R16" s="258">
        <v>22</v>
      </c>
      <c r="S16" s="258">
        <v>-130</v>
      </c>
      <c r="T16" s="258">
        <v>-139</v>
      </c>
      <c r="U16" s="258">
        <v>-86</v>
      </c>
      <c r="V16" s="258">
        <v>-219</v>
      </c>
      <c r="W16" s="258">
        <v>502</v>
      </c>
      <c r="X16" s="258">
        <v>853</v>
      </c>
      <c r="Y16" s="258">
        <v>668</v>
      </c>
      <c r="Z16" s="258">
        <v>626</v>
      </c>
      <c r="AA16" s="258">
        <v>641</v>
      </c>
      <c r="AB16" s="250">
        <v>916</v>
      </c>
      <c r="AC16" s="250">
        <v>944</v>
      </c>
      <c r="AD16" s="250">
        <v>813</v>
      </c>
      <c r="AE16" s="250">
        <v>1438</v>
      </c>
      <c r="AF16" s="250">
        <v>1420</v>
      </c>
      <c r="AG16" s="250">
        <v>1662</v>
      </c>
      <c r="AH16" s="250">
        <v>1685</v>
      </c>
      <c r="AI16" s="250">
        <v>2913</v>
      </c>
      <c r="AJ16" s="222">
        <v>4789</v>
      </c>
      <c r="AK16" s="222">
        <v>2802</v>
      </c>
      <c r="AL16" s="222">
        <v>2753</v>
      </c>
      <c r="AM16" s="232">
        <v>2841</v>
      </c>
      <c r="AN16" s="232">
        <v>2982</v>
      </c>
      <c r="AO16" s="220">
        <v>3083</v>
      </c>
      <c r="AP16" s="193">
        <v>3479</v>
      </c>
      <c r="AQ16" s="193">
        <v>4273</v>
      </c>
      <c r="AR16" s="193">
        <v>4982</v>
      </c>
      <c r="AS16" s="193">
        <v>6164</v>
      </c>
      <c r="AT16" s="193">
        <v>6550</v>
      </c>
      <c r="AU16" s="193">
        <v>7981</v>
      </c>
      <c r="AV16" s="193">
        <v>9199</v>
      </c>
      <c r="AW16" s="193">
        <v>1775</v>
      </c>
      <c r="AX16" s="193">
        <v>572</v>
      </c>
      <c r="AY16" s="193">
        <v>572</v>
      </c>
      <c r="AZ16" s="193">
        <v>542</v>
      </c>
      <c r="BA16" s="193">
        <v>427</v>
      </c>
      <c r="BB16" s="178">
        <v>255</v>
      </c>
      <c r="BC16" s="178">
        <v>183</v>
      </c>
      <c r="BD16" s="178">
        <v>-178</v>
      </c>
      <c r="BE16" s="193">
        <v>58</v>
      </c>
      <c r="BF16" s="178">
        <v>-111</v>
      </c>
      <c r="BG16" s="166">
        <v>-314</v>
      </c>
      <c r="BH16" s="166">
        <v>-129</v>
      </c>
      <c r="BI16" s="166">
        <v>-1096</v>
      </c>
      <c r="BJ16" s="166">
        <v>-808</v>
      </c>
      <c r="BK16" s="166">
        <v>-63</v>
      </c>
      <c r="BL16" s="166">
        <v>-99</v>
      </c>
      <c r="BM16" s="166">
        <v>-126</v>
      </c>
      <c r="BN16" s="166">
        <v>759</v>
      </c>
      <c r="BO16" s="167">
        <v>-75</v>
      </c>
      <c r="BP16" s="166">
        <v>213</v>
      </c>
      <c r="BQ16" s="167">
        <v>291</v>
      </c>
      <c r="BR16" s="166">
        <v>330</v>
      </c>
    </row>
    <row r="17" spans="1:70" s="73" customFormat="1" ht="15" customHeight="1">
      <c r="A17" s="27" t="s">
        <v>282</v>
      </c>
      <c r="B17" s="27" t="s">
        <v>284</v>
      </c>
      <c r="C17" s="124" t="str">
        <f t="shared" si="0"/>
        <v>Resultat før skat, core</v>
      </c>
      <c r="D17" s="257">
        <v>1505</v>
      </c>
      <c r="E17" s="257">
        <v>3771</v>
      </c>
      <c r="F17" s="257">
        <v>4739</v>
      </c>
      <c r="G17" s="257">
        <v>4300</v>
      </c>
      <c r="H17" s="257">
        <v>4731</v>
      </c>
      <c r="I17" s="257">
        <v>3632</v>
      </c>
      <c r="J17" s="257">
        <v>5471</v>
      </c>
      <c r="K17" s="257">
        <v>6171</v>
      </c>
      <c r="L17" s="257">
        <v>6703</v>
      </c>
      <c r="M17" s="257">
        <v>6230</v>
      </c>
      <c r="N17" s="257">
        <v>6208</v>
      </c>
      <c r="O17" s="257">
        <v>7160</v>
      </c>
      <c r="P17" s="257">
        <v>7007</v>
      </c>
      <c r="Q17" s="257">
        <v>6309</v>
      </c>
      <c r="R17" s="257">
        <v>5715</v>
      </c>
      <c r="S17" s="257">
        <v>6289</v>
      </c>
      <c r="T17" s="257">
        <v>853</v>
      </c>
      <c r="U17" s="257">
        <v>4716</v>
      </c>
      <c r="V17" s="257">
        <v>5874</v>
      </c>
      <c r="W17" s="257">
        <v>6272</v>
      </c>
      <c r="X17" s="257">
        <v>-4775</v>
      </c>
      <c r="Y17" s="257">
        <v>4738</v>
      </c>
      <c r="Z17" s="257">
        <v>5301</v>
      </c>
      <c r="AA17" s="257">
        <v>4208</v>
      </c>
      <c r="AB17" s="249">
        <v>3282</v>
      </c>
      <c r="AC17" s="249">
        <v>2646</v>
      </c>
      <c r="AD17" s="249">
        <v>3074</v>
      </c>
      <c r="AE17" s="249">
        <v>2834</v>
      </c>
      <c r="AF17" s="249">
        <v>3434</v>
      </c>
      <c r="AG17" s="249">
        <v>3425</v>
      </c>
      <c r="AH17" s="249">
        <v>3933</v>
      </c>
      <c r="AI17" s="249">
        <v>2548</v>
      </c>
      <c r="AJ17" s="221"/>
      <c r="AK17" s="221"/>
      <c r="AL17" s="221"/>
      <c r="AM17" s="230"/>
      <c r="AN17" s="230"/>
      <c r="AO17" s="218"/>
      <c r="AP17" s="191"/>
      <c r="AQ17" s="191"/>
      <c r="AR17" s="191"/>
      <c r="AS17" s="191"/>
      <c r="AT17" s="191"/>
      <c r="AU17" s="191"/>
      <c r="AV17" s="191"/>
      <c r="AW17" s="191"/>
      <c r="AX17" s="191"/>
      <c r="AY17" s="191"/>
      <c r="AZ17" s="191"/>
      <c r="BA17" s="191"/>
      <c r="BB17" s="176"/>
      <c r="BC17" s="176"/>
      <c r="BD17" s="176"/>
      <c r="BE17" s="191"/>
      <c r="BF17" s="176"/>
      <c r="BG17" s="37"/>
      <c r="BH17" s="37"/>
      <c r="BI17" s="37"/>
      <c r="BJ17" s="37"/>
      <c r="BK17" s="37"/>
      <c r="BL17" s="37"/>
      <c r="BM17" s="37"/>
      <c r="BN17" s="37"/>
      <c r="BO17" s="107"/>
      <c r="BP17" s="37"/>
      <c r="BQ17" s="107"/>
      <c r="BR17" s="37"/>
    </row>
    <row r="18" spans="1:70" s="73" customFormat="1" ht="15" customHeight="1">
      <c r="A18" s="27" t="s">
        <v>283</v>
      </c>
      <c r="B18" s="27" t="s">
        <v>285</v>
      </c>
      <c r="C18" s="165" t="str">
        <f t="shared" si="0"/>
        <v>Resultat før skat, Non-core</v>
      </c>
      <c r="D18" s="258">
        <v>-244</v>
      </c>
      <c r="E18" s="258">
        <v>22</v>
      </c>
      <c r="F18" s="258">
        <v>18</v>
      </c>
      <c r="G18" s="258">
        <v>-288</v>
      </c>
      <c r="H18" s="258">
        <v>-286</v>
      </c>
      <c r="I18" s="258">
        <v>-44</v>
      </c>
      <c r="J18" s="258">
        <v>16</v>
      </c>
      <c r="K18" s="258">
        <v>32</v>
      </c>
      <c r="L18" s="258">
        <v>27</v>
      </c>
      <c r="M18" s="258">
        <v>6</v>
      </c>
      <c r="N18" s="258">
        <v>-25</v>
      </c>
      <c r="O18" s="258">
        <v>-19</v>
      </c>
      <c r="P18" s="258">
        <v>32</v>
      </c>
      <c r="Q18" s="258">
        <v>-42</v>
      </c>
      <c r="R18" s="258">
        <v>65</v>
      </c>
      <c r="S18" s="258">
        <v>-18</v>
      </c>
      <c r="T18" s="258">
        <v>13</v>
      </c>
      <c r="U18" s="258">
        <v>3</v>
      </c>
      <c r="V18" s="258">
        <v>-60</v>
      </c>
      <c r="W18" s="258">
        <v>90</v>
      </c>
      <c r="X18" s="258">
        <v>-477</v>
      </c>
      <c r="Y18" s="258">
        <v>-232</v>
      </c>
      <c r="Z18" s="258">
        <v>-162</v>
      </c>
      <c r="AA18" s="258">
        <v>-632</v>
      </c>
      <c r="AB18" s="250">
        <v>-420</v>
      </c>
      <c r="AC18" s="250">
        <v>-342</v>
      </c>
      <c r="AD18" s="250">
        <v>-397</v>
      </c>
      <c r="AE18" s="250">
        <v>-618</v>
      </c>
      <c r="AF18" s="250">
        <v>-1179</v>
      </c>
      <c r="AG18" s="250">
        <v>-1216</v>
      </c>
      <c r="AH18" s="250">
        <v>-1433</v>
      </c>
      <c r="AI18" s="250">
        <v>-973</v>
      </c>
      <c r="AJ18" s="222"/>
      <c r="AK18" s="222"/>
      <c r="AL18" s="222"/>
      <c r="AM18" s="232"/>
      <c r="AN18" s="232"/>
      <c r="AO18" s="220"/>
      <c r="AP18" s="193"/>
      <c r="AQ18" s="193"/>
      <c r="AR18" s="193"/>
      <c r="AS18" s="193"/>
      <c r="AT18" s="193"/>
      <c r="AU18" s="193"/>
      <c r="AV18" s="193"/>
      <c r="AW18" s="193"/>
      <c r="AX18" s="193"/>
      <c r="AY18" s="193"/>
      <c r="AZ18" s="193"/>
      <c r="BA18" s="193"/>
      <c r="BB18" s="178"/>
      <c r="BC18" s="178"/>
      <c r="BD18" s="178"/>
      <c r="BE18" s="193"/>
      <c r="BF18" s="178"/>
      <c r="BG18" s="166"/>
      <c r="BH18" s="166"/>
      <c r="BI18" s="166"/>
      <c r="BJ18" s="166"/>
      <c r="BK18" s="166"/>
      <c r="BL18" s="166"/>
      <c r="BM18" s="166"/>
      <c r="BN18" s="166"/>
      <c r="BO18" s="167"/>
      <c r="BP18" s="166"/>
      <c r="BQ18" s="167"/>
      <c r="BR18" s="166"/>
    </row>
    <row r="19" spans="1:70" s="73" customFormat="1" ht="15" customHeight="1">
      <c r="A19" s="27" t="s">
        <v>16</v>
      </c>
      <c r="B19" s="27" t="s">
        <v>108</v>
      </c>
      <c r="C19" s="124" t="str">
        <f t="shared" si="0"/>
        <v>Resultat før skat</v>
      </c>
      <c r="D19" s="257">
        <v>1261</v>
      </c>
      <c r="E19" s="257">
        <v>3793</v>
      </c>
      <c r="F19" s="257">
        <v>4757</v>
      </c>
      <c r="G19" s="257">
        <v>4012</v>
      </c>
      <c r="H19" s="257">
        <v>4445</v>
      </c>
      <c r="I19" s="257">
        <v>3588</v>
      </c>
      <c r="J19" s="257">
        <v>5487</v>
      </c>
      <c r="K19" s="257">
        <v>6202</v>
      </c>
      <c r="L19" s="257">
        <v>6729</v>
      </c>
      <c r="M19" s="257">
        <v>6236</v>
      </c>
      <c r="N19" s="257">
        <v>6182</v>
      </c>
      <c r="O19" s="257">
        <v>7140</v>
      </c>
      <c r="P19" s="257">
        <v>7039</v>
      </c>
      <c r="Q19" s="257">
        <v>6267</v>
      </c>
      <c r="R19" s="257">
        <v>5780</v>
      </c>
      <c r="S19" s="257">
        <v>6271</v>
      </c>
      <c r="T19" s="257">
        <v>866</v>
      </c>
      <c r="U19" s="257">
        <v>4719</v>
      </c>
      <c r="V19" s="257">
        <v>5814</v>
      </c>
      <c r="W19" s="257">
        <v>6362</v>
      </c>
      <c r="X19" s="257">
        <v>-5252</v>
      </c>
      <c r="Y19" s="257">
        <v>4506</v>
      </c>
      <c r="Z19" s="257">
        <v>5139</v>
      </c>
      <c r="AA19" s="257">
        <v>3576</v>
      </c>
      <c r="AB19" s="249">
        <v>2862</v>
      </c>
      <c r="AC19" s="249">
        <v>2304</v>
      </c>
      <c r="AD19" s="249">
        <v>2677</v>
      </c>
      <c r="AE19" s="249">
        <v>2216</v>
      </c>
      <c r="AF19" s="249">
        <v>2255</v>
      </c>
      <c r="AG19" s="249">
        <v>2209</v>
      </c>
      <c r="AH19" s="249">
        <v>2500</v>
      </c>
      <c r="AI19" s="249">
        <v>1575</v>
      </c>
      <c r="AJ19" s="221">
        <v>615</v>
      </c>
      <c r="AK19" s="221">
        <v>10</v>
      </c>
      <c r="AL19" s="221">
        <v>2081</v>
      </c>
      <c r="AM19" s="230">
        <v>1499</v>
      </c>
      <c r="AN19" s="230">
        <f>+AN15-AN16</f>
        <v>1448</v>
      </c>
      <c r="AO19" s="218">
        <v>1870</v>
      </c>
      <c r="AP19" s="191">
        <v>1741</v>
      </c>
      <c r="AQ19" s="191">
        <v>1391</v>
      </c>
      <c r="AR19" s="191">
        <v>1288</v>
      </c>
      <c r="AS19" s="191">
        <v>1100</v>
      </c>
      <c r="AT19" s="191">
        <v>37</v>
      </c>
      <c r="AU19" s="191">
        <v>2330</v>
      </c>
      <c r="AV19" s="191">
        <v>-7127</v>
      </c>
      <c r="AW19" s="191">
        <v>1582</v>
      </c>
      <c r="AX19" s="191">
        <v>4360</v>
      </c>
      <c r="AY19" s="191">
        <v>4360</v>
      </c>
      <c r="AZ19" s="191">
        <v>3414</v>
      </c>
      <c r="BA19" s="191">
        <v>4223</v>
      </c>
      <c r="BB19" s="191">
        <v>5021</v>
      </c>
      <c r="BC19" s="191">
        <v>4768</v>
      </c>
      <c r="BD19" s="191">
        <v>5294</v>
      </c>
      <c r="BE19" s="191">
        <v>4889</v>
      </c>
      <c r="BF19" s="176">
        <v>5114</v>
      </c>
      <c r="BG19" s="37">
        <v>4113</v>
      </c>
      <c r="BH19" s="37">
        <v>4381</v>
      </c>
      <c r="BI19" s="37">
        <v>17606</v>
      </c>
      <c r="BJ19" s="37">
        <v>5017</v>
      </c>
      <c r="BK19" s="37">
        <v>4253</v>
      </c>
      <c r="BL19" s="37">
        <v>4129</v>
      </c>
      <c r="BM19" s="37">
        <v>4207</v>
      </c>
      <c r="BN19" s="37">
        <v>13035</v>
      </c>
      <c r="BO19" s="107">
        <v>4216</v>
      </c>
      <c r="BP19" s="37">
        <v>3017</v>
      </c>
      <c r="BQ19" s="107">
        <v>2608</v>
      </c>
      <c r="BR19" s="37">
        <v>3194</v>
      </c>
    </row>
    <row r="20" spans="1:70" s="73" customFormat="1" ht="15" customHeight="1">
      <c r="A20" s="27" t="s">
        <v>17</v>
      </c>
      <c r="B20" s="27" t="s">
        <v>0</v>
      </c>
      <c r="C20" s="165" t="str">
        <f t="shared" si="0"/>
        <v>Skat</v>
      </c>
      <c r="D20" s="258">
        <v>-3780</v>
      </c>
      <c r="E20" s="258">
        <v>782</v>
      </c>
      <c r="F20" s="258">
        <v>725</v>
      </c>
      <c r="G20" s="258">
        <v>1024</v>
      </c>
      <c r="H20" s="258">
        <v>1029</v>
      </c>
      <c r="I20" s="258">
        <v>1107</v>
      </c>
      <c r="J20" s="258">
        <v>1256</v>
      </c>
      <c r="K20" s="258">
        <v>1329</v>
      </c>
      <c r="L20" s="258">
        <v>1081</v>
      </c>
      <c r="M20" s="258">
        <v>1305</v>
      </c>
      <c r="N20" s="258">
        <v>1392</v>
      </c>
      <c r="O20" s="258">
        <v>1610</v>
      </c>
      <c r="P20" s="258">
        <v>1449</v>
      </c>
      <c r="Q20" s="258">
        <v>1362</v>
      </c>
      <c r="R20" s="258">
        <v>1362</v>
      </c>
      <c r="S20" s="258">
        <v>1326</v>
      </c>
      <c r="T20" s="258">
        <v>831</v>
      </c>
      <c r="U20" s="258">
        <v>1051</v>
      </c>
      <c r="V20" s="258">
        <v>1346</v>
      </c>
      <c r="W20" s="258">
        <v>1411</v>
      </c>
      <c r="X20" s="258">
        <v>998</v>
      </c>
      <c r="Y20" s="258">
        <v>1232</v>
      </c>
      <c r="Z20" s="258">
        <v>986</v>
      </c>
      <c r="AA20" s="258">
        <v>805</v>
      </c>
      <c r="AB20" s="250">
        <v>939</v>
      </c>
      <c r="AC20" s="250">
        <v>768</v>
      </c>
      <c r="AD20" s="250">
        <v>493</v>
      </c>
      <c r="AE20" s="250">
        <v>744</v>
      </c>
      <c r="AF20" s="250">
        <v>1110</v>
      </c>
      <c r="AG20" s="250">
        <v>901</v>
      </c>
      <c r="AH20" s="250">
        <v>1005</v>
      </c>
      <c r="AI20" s="250">
        <v>797</v>
      </c>
      <c r="AJ20" s="222">
        <v>415</v>
      </c>
      <c r="AK20" s="222">
        <v>394</v>
      </c>
      <c r="AL20" s="222">
        <v>881</v>
      </c>
      <c r="AM20" s="232">
        <v>792</v>
      </c>
      <c r="AN20" s="232">
        <v>377</v>
      </c>
      <c r="AO20" s="220">
        <v>983</v>
      </c>
      <c r="AP20" s="193">
        <v>804</v>
      </c>
      <c r="AQ20" s="193">
        <v>622</v>
      </c>
      <c r="AR20" s="193">
        <v>883</v>
      </c>
      <c r="AS20" s="193">
        <v>517</v>
      </c>
      <c r="AT20" s="193">
        <v>865</v>
      </c>
      <c r="AU20" s="193">
        <v>777</v>
      </c>
      <c r="AV20" s="193">
        <v>-1242</v>
      </c>
      <c r="AW20" s="193">
        <v>468</v>
      </c>
      <c r="AX20" s="193">
        <v>1120</v>
      </c>
      <c r="AY20" s="193">
        <v>1120</v>
      </c>
      <c r="AZ20" s="193">
        <v>847</v>
      </c>
      <c r="BA20" s="193">
        <v>659</v>
      </c>
      <c r="BB20" s="193">
        <v>1344</v>
      </c>
      <c r="BC20" s="193">
        <v>961</v>
      </c>
      <c r="BD20" s="193">
        <v>1472</v>
      </c>
      <c r="BE20" s="193">
        <v>1129</v>
      </c>
      <c r="BF20" s="178">
        <v>1416</v>
      </c>
      <c r="BG20" s="166">
        <v>1157</v>
      </c>
      <c r="BH20" s="166">
        <v>1250</v>
      </c>
      <c r="BI20" s="166">
        <v>4921</v>
      </c>
      <c r="BJ20" s="166">
        <v>1283</v>
      </c>
      <c r="BK20" s="166">
        <v>1286</v>
      </c>
      <c r="BL20" s="166">
        <v>1129</v>
      </c>
      <c r="BM20" s="166">
        <v>1223</v>
      </c>
      <c r="BN20" s="166">
        <v>3718</v>
      </c>
      <c r="BO20" s="167">
        <v>1172</v>
      </c>
      <c r="BP20" s="166">
        <v>804</v>
      </c>
      <c r="BQ20" s="167">
        <v>786</v>
      </c>
      <c r="BR20" s="166">
        <v>956</v>
      </c>
    </row>
    <row r="21" spans="1:70" s="73" customFormat="1" ht="15" customHeight="1">
      <c r="A21" s="27" t="s">
        <v>122</v>
      </c>
      <c r="B21" s="27" t="s">
        <v>115</v>
      </c>
      <c r="C21" s="162" t="str">
        <f t="shared" si="0"/>
        <v>Periodens resultat</v>
      </c>
      <c r="D21" s="257">
        <v>5041</v>
      </c>
      <c r="E21" s="257">
        <v>3011</v>
      </c>
      <c r="F21" s="257">
        <v>4031</v>
      </c>
      <c r="G21" s="257">
        <v>2988</v>
      </c>
      <c r="H21" s="257">
        <v>3415</v>
      </c>
      <c r="I21" s="257">
        <v>2482</v>
      </c>
      <c r="J21" s="257">
        <v>4231</v>
      </c>
      <c r="K21" s="257">
        <v>4873</v>
      </c>
      <c r="L21" s="257">
        <v>5649</v>
      </c>
      <c r="M21" s="257">
        <v>4931</v>
      </c>
      <c r="N21" s="257">
        <v>4790</v>
      </c>
      <c r="O21" s="257">
        <v>5530</v>
      </c>
      <c r="P21" s="257">
        <v>5590</v>
      </c>
      <c r="Q21" s="257">
        <v>4905</v>
      </c>
      <c r="R21" s="257">
        <v>4418</v>
      </c>
      <c r="S21" s="257">
        <v>4945</v>
      </c>
      <c r="T21" s="257">
        <v>35</v>
      </c>
      <c r="U21" s="257">
        <v>3668</v>
      </c>
      <c r="V21" s="257">
        <v>4468</v>
      </c>
      <c r="W21" s="257">
        <v>4951</v>
      </c>
      <c r="X21" s="257">
        <v>-6250</v>
      </c>
      <c r="Y21" s="257">
        <v>3274</v>
      </c>
      <c r="Z21" s="257">
        <v>4153</v>
      </c>
      <c r="AA21" s="257">
        <v>2771</v>
      </c>
      <c r="AB21" s="249">
        <v>1923</v>
      </c>
      <c r="AC21" s="249">
        <v>1536</v>
      </c>
      <c r="AD21" s="249">
        <v>2184</v>
      </c>
      <c r="AE21" s="249">
        <v>1472</v>
      </c>
      <c r="AF21" s="249">
        <v>1145</v>
      </c>
      <c r="AG21" s="249">
        <v>1308</v>
      </c>
      <c r="AH21" s="249">
        <v>1495</v>
      </c>
      <c r="AI21" s="249">
        <v>778</v>
      </c>
      <c r="AJ21" s="241">
        <v>200</v>
      </c>
      <c r="AK21" s="241" t="s">
        <v>272</v>
      </c>
      <c r="AL21" s="221">
        <v>1200</v>
      </c>
      <c r="AM21" s="230">
        <v>707</v>
      </c>
      <c r="AN21" s="231">
        <f>+AN19-AN20</f>
        <v>1071</v>
      </c>
      <c r="AO21" s="219">
        <v>887</v>
      </c>
      <c r="AP21" s="192">
        <v>937</v>
      </c>
      <c r="AQ21" s="192">
        <v>769</v>
      </c>
      <c r="AR21" s="192">
        <v>405</v>
      </c>
      <c r="AS21" s="192">
        <v>583</v>
      </c>
      <c r="AT21" s="192">
        <v>-828</v>
      </c>
      <c r="AU21" s="192">
        <v>1553</v>
      </c>
      <c r="AV21" s="192">
        <v>-5885</v>
      </c>
      <c r="AW21" s="192">
        <v>1114</v>
      </c>
      <c r="AX21" s="192">
        <v>3240</v>
      </c>
      <c r="AY21" s="192">
        <v>3240</v>
      </c>
      <c r="AZ21" s="192">
        <v>2567</v>
      </c>
      <c r="BA21" s="192">
        <v>3564</v>
      </c>
      <c r="BB21" s="192">
        <v>3677</v>
      </c>
      <c r="BC21" s="192">
        <v>3807</v>
      </c>
      <c r="BD21" s="192">
        <v>3822</v>
      </c>
      <c r="BE21" s="192">
        <v>3760</v>
      </c>
      <c r="BF21" s="177">
        <v>3698</v>
      </c>
      <c r="BG21" s="163">
        <v>2956</v>
      </c>
      <c r="BH21" s="163">
        <v>3131</v>
      </c>
      <c r="BI21" s="163">
        <v>12685</v>
      </c>
      <c r="BJ21" s="163">
        <v>3734</v>
      </c>
      <c r="BK21" s="163">
        <v>2967</v>
      </c>
      <c r="BL21" s="163">
        <v>3000</v>
      </c>
      <c r="BM21" s="163">
        <v>2984</v>
      </c>
      <c r="BN21" s="163">
        <v>9317</v>
      </c>
      <c r="BO21" s="164">
        <v>3044</v>
      </c>
      <c r="BP21" s="163">
        <v>2213</v>
      </c>
      <c r="BQ21" s="164">
        <v>1822</v>
      </c>
      <c r="BR21" s="163">
        <v>2238</v>
      </c>
    </row>
    <row r="22" spans="1:70" s="73" customFormat="1" ht="15" customHeight="1">
      <c r="A22" s="27" t="s">
        <v>141</v>
      </c>
      <c r="B22" s="27" t="s">
        <v>116</v>
      </c>
      <c r="C22" s="124" t="str">
        <f t="shared" si="0"/>
        <v>Heraf minoritetsinteressers andel</v>
      </c>
      <c r="D22" s="257">
        <v>0</v>
      </c>
      <c r="E22" s="257">
        <v>0</v>
      </c>
      <c r="F22" s="257">
        <v>0</v>
      </c>
      <c r="G22" s="257">
        <v>0</v>
      </c>
      <c r="H22" s="257">
        <v>0</v>
      </c>
      <c r="I22" s="257">
        <v>0</v>
      </c>
      <c r="J22" s="257">
        <v>0</v>
      </c>
      <c r="K22" s="257">
        <v>0</v>
      </c>
      <c r="L22" s="257">
        <v>0</v>
      </c>
      <c r="M22" s="257">
        <v>0</v>
      </c>
      <c r="N22" s="257">
        <v>0</v>
      </c>
      <c r="O22" s="257">
        <v>0</v>
      </c>
      <c r="P22" s="257">
        <v>0</v>
      </c>
      <c r="Q22" s="257">
        <v>0</v>
      </c>
      <c r="R22" s="257">
        <v>0</v>
      </c>
      <c r="S22" s="257">
        <v>0</v>
      </c>
      <c r="T22" s="257">
        <v>0</v>
      </c>
      <c r="U22" s="257">
        <v>0</v>
      </c>
      <c r="V22" s="257">
        <v>0</v>
      </c>
      <c r="W22" s="257">
        <v>0</v>
      </c>
      <c r="X22" s="257">
        <v>0</v>
      </c>
      <c r="Y22" s="257">
        <v>0</v>
      </c>
      <c r="Z22" s="257">
        <v>2</v>
      </c>
      <c r="AA22" s="257">
        <v>0</v>
      </c>
      <c r="AB22" s="249">
        <v>-1</v>
      </c>
      <c r="AC22" s="249">
        <v>1</v>
      </c>
      <c r="AD22" s="249">
        <v>0</v>
      </c>
      <c r="AE22" s="249">
        <v>0</v>
      </c>
      <c r="AF22" s="249">
        <v>0</v>
      </c>
      <c r="AG22" s="249">
        <v>5</v>
      </c>
      <c r="AH22" s="249">
        <v>-1</v>
      </c>
      <c r="AI22" s="249">
        <v>0</v>
      </c>
      <c r="AJ22" s="191">
        <v>-1</v>
      </c>
      <c r="AK22" s="240">
        <v>0</v>
      </c>
      <c r="AL22" s="240">
        <v>14</v>
      </c>
      <c r="AM22" s="236" t="s">
        <v>265</v>
      </c>
      <c r="AN22" s="230">
        <v>3</v>
      </c>
      <c r="AO22" s="218" t="s">
        <v>171</v>
      </c>
      <c r="AP22" s="215" t="s">
        <v>171</v>
      </c>
      <c r="AQ22" s="215" t="s">
        <v>171</v>
      </c>
      <c r="AR22" s="215" t="s">
        <v>171</v>
      </c>
      <c r="AS22" s="215" t="s">
        <v>171</v>
      </c>
      <c r="AT22" s="215" t="s">
        <v>171</v>
      </c>
      <c r="AU22" s="191">
        <v>-14</v>
      </c>
      <c r="AV22" s="191">
        <v>9</v>
      </c>
      <c r="AW22" s="191">
        <v>14</v>
      </c>
      <c r="AX22" s="191">
        <v>1</v>
      </c>
      <c r="AY22" s="191">
        <v>1</v>
      </c>
      <c r="AZ22" s="191">
        <v>1</v>
      </c>
      <c r="BA22" s="191">
        <v>-3</v>
      </c>
      <c r="BB22" s="191">
        <v>34</v>
      </c>
      <c r="BC22" s="191">
        <v>25</v>
      </c>
      <c r="BD22" s="191">
        <v>1</v>
      </c>
      <c r="BE22" s="191">
        <v>2</v>
      </c>
      <c r="BF22" s="176">
        <v>-1</v>
      </c>
      <c r="BG22" s="37">
        <v>-12</v>
      </c>
      <c r="BH22" s="37">
        <v>-1</v>
      </c>
      <c r="BI22" s="37">
        <v>4</v>
      </c>
      <c r="BJ22" s="37">
        <v>1</v>
      </c>
      <c r="BK22" s="37">
        <v>3</v>
      </c>
      <c r="BL22" s="37">
        <v>-9</v>
      </c>
      <c r="BM22" s="37">
        <v>9</v>
      </c>
      <c r="BN22" s="37">
        <v>28</v>
      </c>
      <c r="BO22" s="107">
        <v>8</v>
      </c>
      <c r="BP22" s="37">
        <v>2</v>
      </c>
      <c r="BQ22" s="107">
        <v>9</v>
      </c>
      <c r="BR22" s="37">
        <v>9</v>
      </c>
    </row>
    <row r="23" spans="1:68" s="73" customFormat="1" ht="15" customHeight="1">
      <c r="A23" s="27"/>
      <c r="B23" s="27"/>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07"/>
      <c r="BF23" s="107"/>
      <c r="BG23" s="107"/>
      <c r="BH23" s="107"/>
      <c r="BI23" s="107"/>
      <c r="BJ23" s="107"/>
      <c r="BK23" s="107"/>
      <c r="BL23" s="107"/>
      <c r="BM23" s="107"/>
      <c r="BN23" s="107"/>
      <c r="BO23" s="107"/>
      <c r="BP23" s="107"/>
    </row>
    <row r="24" spans="1:68" s="170" customFormat="1" ht="15" customHeight="1">
      <c r="A24" s="27"/>
      <c r="B24" s="168"/>
      <c r="C24" s="254" t="s">
        <v>290</v>
      </c>
      <c r="D24" s="254"/>
      <c r="E24" s="254"/>
      <c r="F24" s="254"/>
      <c r="G24" s="254"/>
      <c r="H24" s="254"/>
      <c r="I24" s="254"/>
      <c r="J24" s="254"/>
      <c r="K24" s="254"/>
      <c r="L24" s="254"/>
      <c r="M24" s="254"/>
      <c r="N24" s="254"/>
      <c r="O24" s="254"/>
      <c r="P24" s="254"/>
      <c r="Q24" s="254"/>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124"/>
      <c r="BC24" s="124"/>
      <c r="BD24" s="124"/>
      <c r="BE24" s="169"/>
      <c r="BF24" s="169"/>
      <c r="BG24" s="169"/>
      <c r="BH24" s="169"/>
      <c r="BI24" s="169"/>
      <c r="BJ24" s="169"/>
      <c r="BK24" s="169"/>
      <c r="BL24" s="169"/>
      <c r="BM24" s="169"/>
      <c r="BN24" s="169"/>
      <c r="BO24" s="169"/>
      <c r="BP24" s="169"/>
    </row>
    <row r="25" spans="1:68" s="73" customFormat="1" ht="15" customHeight="1">
      <c r="A25" s="27"/>
      <c r="B25" s="27"/>
      <c r="C25" s="254" t="s">
        <v>291</v>
      </c>
      <c r="D25" s="254"/>
      <c r="E25" s="254"/>
      <c r="F25" s="254"/>
      <c r="G25" s="254"/>
      <c r="H25" s="254"/>
      <c r="I25" s="254"/>
      <c r="J25" s="254"/>
      <c r="K25" s="254"/>
      <c r="L25" s="254"/>
      <c r="M25" s="254"/>
      <c r="N25" s="254"/>
      <c r="O25" s="254"/>
      <c r="P25" s="254"/>
      <c r="Q25" s="25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07"/>
      <c r="BF25" s="107"/>
      <c r="BG25" s="107"/>
      <c r="BH25" s="107"/>
      <c r="BI25" s="107"/>
      <c r="BJ25" s="107"/>
      <c r="BK25" s="107"/>
      <c r="BL25" s="107"/>
      <c r="BM25" s="107"/>
      <c r="BN25" s="107"/>
      <c r="BO25" s="107"/>
      <c r="BP25" s="107"/>
    </row>
    <row r="26" spans="1:68" s="22" customFormat="1" ht="15" customHeight="1">
      <c r="A26" s="25"/>
      <c r="B26" s="25"/>
      <c r="C26" s="203" t="s">
        <v>288</v>
      </c>
      <c r="D26" s="203"/>
      <c r="E26" s="203"/>
      <c r="F26" s="203"/>
      <c r="G26" s="203"/>
      <c r="H26" s="203"/>
      <c r="I26" s="203"/>
      <c r="J26" s="203"/>
      <c r="K26" s="203"/>
      <c r="L26" s="203"/>
      <c r="M26" s="203"/>
      <c r="N26" s="203"/>
      <c r="O26" s="203"/>
      <c r="P26" s="203"/>
      <c r="Q26" s="20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row>
    <row r="27" spans="2:68" ht="15" customHeight="1">
      <c r="B27" s="39"/>
      <c r="C27" s="255" t="s">
        <v>289</v>
      </c>
      <c r="D27" s="269"/>
      <c r="E27" s="269"/>
      <c r="F27" s="269"/>
      <c r="G27" s="269"/>
      <c r="H27" s="269"/>
      <c r="I27" s="269"/>
      <c r="J27" s="269"/>
      <c r="K27" s="269"/>
      <c r="L27" s="269"/>
      <c r="M27" s="269"/>
      <c r="N27" s="269"/>
      <c r="O27" s="269"/>
      <c r="P27" s="269"/>
      <c r="Q27" s="269"/>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row>
    <row r="28" spans="2:68" ht="15" customHeight="1">
      <c r="B28" s="39"/>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row>
    <row r="29" spans="2:68" ht="15" customHeight="1">
      <c r="B29" s="39"/>
      <c r="C29" s="170" t="s">
        <v>303</v>
      </c>
      <c r="D29" s="170"/>
      <c r="E29" s="170"/>
      <c r="F29" s="170"/>
      <c r="G29" s="170"/>
      <c r="H29" s="170"/>
      <c r="I29" s="170"/>
      <c r="J29" s="170"/>
      <c r="K29" s="170"/>
      <c r="L29" s="170"/>
      <c r="M29" s="170"/>
      <c r="N29" s="170"/>
      <c r="O29" s="170"/>
      <c r="P29" s="170"/>
      <c r="Q29" s="170"/>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row>
    <row r="30" spans="2:68" ht="15" customHeight="1">
      <c r="B30" s="39"/>
      <c r="C30" s="170" t="s">
        <v>308</v>
      </c>
      <c r="D30" s="170"/>
      <c r="E30" s="170"/>
      <c r="F30" s="170"/>
      <c r="G30" s="170"/>
      <c r="H30" s="170"/>
      <c r="I30" s="170"/>
      <c r="J30" s="170"/>
      <c r="K30" s="170"/>
      <c r="L30" s="170"/>
      <c r="M30" s="170"/>
      <c r="N30" s="170"/>
      <c r="O30" s="170"/>
      <c r="P30" s="170"/>
      <c r="Q30" s="170"/>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row>
    <row r="31" spans="2:68" ht="15" customHeight="1">
      <c r="B31" s="39"/>
      <c r="C31" s="203" t="s">
        <v>185</v>
      </c>
      <c r="D31" s="203"/>
      <c r="E31" s="203"/>
      <c r="F31" s="203"/>
      <c r="G31" s="203"/>
      <c r="H31" s="203"/>
      <c r="I31" s="203"/>
      <c r="J31" s="203"/>
      <c r="K31" s="203"/>
      <c r="L31" s="203"/>
      <c r="M31" s="203"/>
      <c r="N31" s="203"/>
      <c r="O31" s="203"/>
      <c r="P31" s="203"/>
      <c r="Q31" s="20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row>
    <row r="32" spans="2:68"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row>
    <row r="33" spans="2:68" ht="15" customHeight="1">
      <c r="B33" s="39"/>
      <c r="C33" s="203" t="s">
        <v>310</v>
      </c>
      <c r="D33" s="203"/>
      <c r="E33" s="203"/>
      <c r="F33" s="203"/>
      <c r="G33" s="203"/>
      <c r="H33" s="203"/>
      <c r="I33" s="203"/>
      <c r="J33" s="203"/>
      <c r="K33" s="203"/>
      <c r="L33" s="203"/>
      <c r="M33" s="203"/>
      <c r="N33" s="203"/>
      <c r="O33" s="203"/>
      <c r="P33" s="203"/>
      <c r="Q33" s="20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row>
    <row r="34" spans="2:68" ht="15" customHeight="1">
      <c r="B34" s="39"/>
      <c r="C34" s="203" t="s">
        <v>320</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row>
    <row r="35" spans="2:68"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row>
    <row r="36" spans="2:68" ht="15" customHeight="1">
      <c r="B36" s="39"/>
      <c r="C36" s="170" t="s">
        <v>333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row>
    <row r="37" spans="2:68"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row>
    <row r="38" ht="15" customHeight="1">
      <c r="B38" s="39"/>
    </row>
    <row r="39" ht="15" customHeight="1">
      <c r="B39" s="39"/>
    </row>
    <row r="40" ht="15" customHeight="1">
      <c r="B40" s="39"/>
    </row>
    <row r="41" ht="15" customHeight="1">
      <c r="B41" s="39"/>
    </row>
    <row r="42" ht="15" customHeight="1">
      <c r="B42" s="39"/>
    </row>
    <row r="43" ht="15" customHeight="1">
      <c r="B43" s="39"/>
    </row>
    <row r="44" ht="15" customHeight="1">
      <c r="B44" s="39"/>
    </row>
    <row r="45" ht="15" customHeight="1">
      <c r="B45" s="39"/>
    </row>
    <row r="46" spans="2:68"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row>
    <row r="47" spans="2:68"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row>
    <row r="48" spans="2:68"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row>
    <row r="49" spans="2:68"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row>
    <row r="50" spans="2:68"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row>
    <row r="51" spans="2:68"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row>
    <row r="52" spans="2:68"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row>
    <row r="53" spans="2:68"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row>
    <row r="54" spans="2:68"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row>
    <row r="55" spans="2:68"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row>
    <row r="56" spans="2:68"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row>
    <row r="57" spans="2:68"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row>
    <row r="58" spans="2:68"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row>
    <row r="59" spans="2:68"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row>
    <row r="60" spans="2:68"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row>
    <row r="61" spans="3:68"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row>
    <row r="62" spans="3:68"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row>
    <row r="63" spans="3:68"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row>
    <row r="64" spans="3:68"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row>
    <row r="65" spans="3:68"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row>
    <row r="66" spans="3:68"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row>
    <row r="67" spans="3:68"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row>
    <row r="68" spans="3:68"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row>
    <row r="69" spans="3:68"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row>
    <row r="70" spans="3:68"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row>
    <row r="71" spans="3:68"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row>
    <row r="72" spans="3:68"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row>
    <row r="73" spans="3:68"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row>
    <row r="74" spans="3:68"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row>
    <row r="75" spans="3:68"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row>
    <row r="76" spans="3:68"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row>
    <row r="77" spans="3:68"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row>
    <row r="78" spans="3:68"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row>
    <row r="79" spans="3:68"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row>
    <row r="80" spans="3:68"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row>
    <row r="81" spans="3:68"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row>
    <row r="82" spans="3:68"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row>
    <row r="83" spans="3:68"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row>
    <row r="84" spans="3:68"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row>
    <row r="85" spans="3:68"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row>
    <row r="86" spans="3:68"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row>
    <row r="87" spans="3:68"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row>
    <row r="88" spans="3:68"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row>
    <row r="89" spans="3:68"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row>
    <row r="90" spans="3:68"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row>
    <row r="91" spans="3:68"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row>
    <row r="92" spans="3:68"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row>
    <row r="93" spans="3:68"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row>
    <row r="94" spans="3:68"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row>
    <row r="95" spans="3:68"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row>
    <row r="96" spans="3:68"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row>
    <row r="97" spans="3:68"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row>
    <row r="98" spans="3:68"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row>
    <row r="99" spans="3:68"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row>
    <row r="100" spans="3:68"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row>
    <row r="101" spans="3:68"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row>
    <row r="102" spans="3:68"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row>
    <row r="103" spans="3:68"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row>
    <row r="104" spans="3:68"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row>
    <row r="105" spans="3:68"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row>
    <row r="106" spans="3:68"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row>
    <row r="107" spans="3:68"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row>
    <row r="108" spans="3:68"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row>
    <row r="109" spans="3:68"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row>
    <row r="110" spans="3:68"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row>
    <row r="111" spans="3:68"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row>
    <row r="112" spans="3:68"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row>
    <row r="113" spans="3:68"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row>
    <row r="114" spans="3:68"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row>
    <row r="115" spans="3:68"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row>
    <row r="116" spans="3:68"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row>
    <row r="117" spans="3:68"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row>
    <row r="118" spans="3:68"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row>
    <row r="119" spans="3:68"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row>
    <row r="120" spans="3:68"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row>
    <row r="121" spans="3:68"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row>
    <row r="122" spans="3:68"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row>
    <row r="123" spans="3:68"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row>
    <row r="124" spans="3:68"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row>
    <row r="125" spans="3:68"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row>
    <row r="126" spans="3:68"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row>
    <row r="127" spans="3:68"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row>
    <row r="128" spans="3:68"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row>
    <row r="129" spans="3:68"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1" r:id="rId2"/>
  <customProperties>
    <customPr name="EpmWorksheetKeyString_GUID" r:id="rId3"/>
  </customProperties>
  <ignoredErrors>
    <ignoredError sqref="AM22 AK12 AK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CY91"/>
  <sheetViews>
    <sheetView showGridLines="0" zoomScalePageLayoutView="0" workbookViewId="0" topLeftCell="C1">
      <selection activeCell="C1" sqref="C1"/>
    </sheetView>
  </sheetViews>
  <sheetFormatPr defaultColWidth="15.00390625" defaultRowHeight="15" customHeight="1"/>
  <cols>
    <col min="1" max="1" width="65.140625" style="39" hidden="1" customWidth="1"/>
    <col min="2" max="2" width="65.00390625" style="25" hidden="1" customWidth="1"/>
    <col min="3" max="3" width="64.28125" style="20" customWidth="1"/>
    <col min="4" max="14" width="15.140625" style="20" customWidth="1"/>
    <col min="15" max="17" width="16.7109375" style="20" customWidth="1"/>
    <col min="18" max="40" width="15.7109375" style="20" customWidth="1"/>
    <col min="41" max="41" width="16.140625" style="20" customWidth="1"/>
    <col min="42" max="42" width="15.8515625" style="20" customWidth="1"/>
    <col min="43" max="51" width="16.140625" style="20" customWidth="1"/>
    <col min="52" max="52" width="15.7109375" style="20" customWidth="1"/>
    <col min="53" max="16384" width="15.00390625" style="20" customWidth="1"/>
  </cols>
  <sheetData>
    <row r="1" spans="1:3" ht="15" customHeight="1">
      <c r="A1" s="38" t="s">
        <v>102</v>
      </c>
      <c r="B1" s="24">
        <v>1</v>
      </c>
      <c r="C1" s="20" t="s">
        <v>160</v>
      </c>
    </row>
    <row r="2" spans="1:55" ht="15" customHeight="1">
      <c r="A2" s="25" t="s">
        <v>27</v>
      </c>
      <c r="B2" s="25" t="s">
        <v>13</v>
      </c>
      <c r="C2" s="26" t="str">
        <f>IF($B$1=1,B2,A2)</f>
        <v>Arket indeholder følgende information:</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row>
    <row r="3" spans="1:60" ht="15" customHeight="1">
      <c r="A3" s="25" t="s">
        <v>25</v>
      </c>
      <c r="B3" s="25" t="s">
        <v>25</v>
      </c>
      <c r="BH3" s="145"/>
    </row>
    <row r="4" spans="1:60" ht="15" customHeight="1">
      <c r="A4" s="25" t="s">
        <v>26</v>
      </c>
      <c r="B4" s="25" t="s">
        <v>26</v>
      </c>
      <c r="BH4" s="145"/>
    </row>
    <row r="6" spans="1:82" s="139" customFormat="1" ht="30" customHeight="1">
      <c r="A6" s="133" t="s">
        <v>233</v>
      </c>
      <c r="B6" s="134" t="s">
        <v>80</v>
      </c>
      <c r="C6" s="245" t="str">
        <f aca="true" t="shared" si="0" ref="C6:C14">IF($B$1=1,B6,A6)</f>
        <v>Balance (mio. kr.)</v>
      </c>
      <c r="D6" s="233" t="s">
        <v>332</v>
      </c>
      <c r="E6" s="233" t="s">
        <v>331</v>
      </c>
      <c r="F6" s="233" t="s">
        <v>330</v>
      </c>
      <c r="G6" s="233" t="s">
        <v>329</v>
      </c>
      <c r="H6" s="233" t="s">
        <v>328</v>
      </c>
      <c r="I6" s="233" t="s">
        <v>327</v>
      </c>
      <c r="J6" s="233" t="s">
        <v>324</v>
      </c>
      <c r="K6" s="233" t="s">
        <v>319</v>
      </c>
      <c r="L6" s="233" t="s">
        <v>318</v>
      </c>
      <c r="M6" s="233" t="s">
        <v>317</v>
      </c>
      <c r="N6" s="233" t="s">
        <v>316</v>
      </c>
      <c r="O6" s="233" t="s">
        <v>314</v>
      </c>
      <c r="P6" s="233" t="s">
        <v>313</v>
      </c>
      <c r="Q6" s="233" t="s">
        <v>312</v>
      </c>
      <c r="R6" s="233" t="s">
        <v>311</v>
      </c>
      <c r="S6" s="233" t="s">
        <v>309</v>
      </c>
      <c r="T6" s="233" t="s">
        <v>307</v>
      </c>
      <c r="U6" s="233" t="s">
        <v>306</v>
      </c>
      <c r="V6" s="233" t="s">
        <v>305</v>
      </c>
      <c r="W6" s="233" t="s">
        <v>304</v>
      </c>
      <c r="X6" s="233" t="s">
        <v>302</v>
      </c>
      <c r="Y6" s="233" t="s">
        <v>299</v>
      </c>
      <c r="Z6" s="233" t="s">
        <v>298</v>
      </c>
      <c r="AA6" s="233" t="s">
        <v>297</v>
      </c>
      <c r="AB6" s="233" t="s">
        <v>295</v>
      </c>
      <c r="AC6" s="233" t="s">
        <v>294</v>
      </c>
      <c r="AD6" s="233" t="s">
        <v>292</v>
      </c>
      <c r="AE6" s="233" t="s">
        <v>281</v>
      </c>
      <c r="AF6" s="233" t="s">
        <v>280</v>
      </c>
      <c r="AG6" s="233" t="s">
        <v>279</v>
      </c>
      <c r="AH6" s="233" t="s">
        <v>278</v>
      </c>
      <c r="AI6" s="233" t="s">
        <v>277</v>
      </c>
      <c r="AJ6" s="233" t="s">
        <v>274</v>
      </c>
      <c r="AK6" s="233" t="s">
        <v>271</v>
      </c>
      <c r="AL6" s="233" t="s">
        <v>266</v>
      </c>
      <c r="AM6" s="233" t="s">
        <v>264</v>
      </c>
      <c r="AN6" s="233" t="s">
        <v>261</v>
      </c>
      <c r="AO6" s="225" t="s">
        <v>259</v>
      </c>
      <c r="AP6" s="190" t="s">
        <v>258</v>
      </c>
      <c r="AQ6" s="190" t="s">
        <v>257</v>
      </c>
      <c r="AR6" s="190" t="s">
        <v>240</v>
      </c>
      <c r="AS6" s="190" t="s">
        <v>219</v>
      </c>
      <c r="AT6" s="190" t="s">
        <v>217</v>
      </c>
      <c r="AU6" s="190" t="s">
        <v>216</v>
      </c>
      <c r="AV6" s="190" t="s">
        <v>176</v>
      </c>
      <c r="AW6" s="190" t="s">
        <v>174</v>
      </c>
      <c r="AX6" s="190" t="s">
        <v>173</v>
      </c>
      <c r="AY6" s="190" t="s">
        <v>172</v>
      </c>
      <c r="AZ6" s="190" t="s">
        <v>170</v>
      </c>
      <c r="BA6" s="190" t="s">
        <v>169</v>
      </c>
      <c r="BB6" s="190" t="s">
        <v>168</v>
      </c>
      <c r="BC6" s="190" t="s">
        <v>163</v>
      </c>
      <c r="BD6" s="190" t="s">
        <v>161</v>
      </c>
      <c r="BE6" s="135" t="s">
        <v>159</v>
      </c>
      <c r="BF6" s="135" t="s">
        <v>158</v>
      </c>
      <c r="BG6" s="135" t="s">
        <v>157</v>
      </c>
      <c r="BH6" s="135" t="s">
        <v>148</v>
      </c>
      <c r="BI6" s="135" t="s">
        <v>147</v>
      </c>
      <c r="BJ6" s="135" t="s">
        <v>146</v>
      </c>
      <c r="BK6" s="135" t="s">
        <v>109</v>
      </c>
      <c r="BL6" s="135" t="s">
        <v>105</v>
      </c>
      <c r="BM6" s="136" t="s">
        <v>104</v>
      </c>
      <c r="BN6" s="136" t="s">
        <v>103</v>
      </c>
      <c r="BO6" s="137" t="s">
        <v>101</v>
      </c>
      <c r="BP6" s="274"/>
      <c r="BQ6" s="274"/>
      <c r="BR6" s="274"/>
      <c r="BS6" s="274"/>
      <c r="BT6" s="138"/>
      <c r="BU6" s="138"/>
      <c r="BV6" s="138"/>
      <c r="BW6" s="138"/>
      <c r="BX6" s="138"/>
      <c r="BY6" s="138"/>
      <c r="CA6" s="140"/>
      <c r="CB6" s="141"/>
      <c r="CC6" s="141"/>
      <c r="CD6" s="141"/>
    </row>
    <row r="7" spans="1:103" s="32" customFormat="1" ht="15" customHeight="1">
      <c r="A7" s="132" t="s">
        <v>18</v>
      </c>
      <c r="B7" s="132" t="s">
        <v>79</v>
      </c>
      <c r="C7" s="142" t="str">
        <f t="shared" si="0"/>
        <v>Aktiver</v>
      </c>
      <c r="D7" s="261"/>
      <c r="E7" s="261"/>
      <c r="F7" s="261"/>
      <c r="G7" s="261"/>
      <c r="H7" s="261"/>
      <c r="I7" s="261"/>
      <c r="J7" s="261"/>
      <c r="K7" s="261"/>
      <c r="L7" s="261"/>
      <c r="M7" s="261"/>
      <c r="N7" s="261"/>
      <c r="O7" s="261"/>
      <c r="P7" s="261"/>
      <c r="Q7" s="261"/>
      <c r="R7" s="261"/>
      <c r="S7" s="261"/>
      <c r="T7" s="261"/>
      <c r="U7" s="261"/>
      <c r="V7" s="261"/>
      <c r="W7" s="261"/>
      <c r="X7" s="261"/>
      <c r="Y7" s="261"/>
      <c r="Z7" s="261"/>
      <c r="AA7" s="261"/>
      <c r="AB7" s="202"/>
      <c r="AC7" s="202"/>
      <c r="AD7" s="202"/>
      <c r="AE7" s="202"/>
      <c r="AF7" s="202"/>
      <c r="AG7" s="202"/>
      <c r="AH7" s="216"/>
      <c r="AI7" s="216"/>
      <c r="AJ7" s="216"/>
      <c r="AK7" s="216"/>
      <c r="AL7" s="216"/>
      <c r="AM7" s="216"/>
      <c r="AN7" s="142"/>
      <c r="AO7" s="191"/>
      <c r="AP7" s="194"/>
      <c r="AQ7" s="194"/>
      <c r="AR7" s="194"/>
      <c r="AS7" s="194"/>
      <c r="AT7" s="194"/>
      <c r="AU7" s="194"/>
      <c r="AV7" s="194"/>
      <c r="AW7" s="194"/>
      <c r="AX7" s="194"/>
      <c r="AY7" s="194"/>
      <c r="AZ7" s="210"/>
      <c r="BA7" s="202"/>
      <c r="BB7" s="202"/>
      <c r="BC7" s="202"/>
      <c r="BD7" s="194"/>
      <c r="BE7" s="179"/>
      <c r="BF7" s="143"/>
      <c r="BG7" s="143"/>
      <c r="BH7" s="143"/>
      <c r="BI7" s="143"/>
      <c r="BJ7" s="143"/>
      <c r="BK7" s="143"/>
      <c r="BL7" s="143"/>
      <c r="BM7" s="143"/>
      <c r="BN7" s="143"/>
      <c r="BO7" s="143"/>
      <c r="BP7" s="60"/>
      <c r="BQ7" s="60"/>
      <c r="BR7" s="76"/>
      <c r="BS7" s="77"/>
      <c r="BT7" s="22"/>
      <c r="BU7" s="22"/>
      <c r="BV7" s="61"/>
      <c r="BW7" s="61"/>
      <c r="BX7" s="61"/>
      <c r="BY7" s="22"/>
      <c r="BZ7" s="20"/>
      <c r="CA7" s="33"/>
      <c r="CB7" s="94"/>
      <c r="CC7" s="94"/>
      <c r="CD7" s="94"/>
      <c r="CE7" s="22"/>
      <c r="CF7" s="20"/>
      <c r="CG7" s="20"/>
      <c r="CH7" s="20"/>
      <c r="CI7" s="20"/>
      <c r="CJ7" s="20"/>
      <c r="CK7" s="20"/>
      <c r="CL7" s="20"/>
      <c r="CM7" s="20"/>
      <c r="CN7" s="20"/>
      <c r="CO7" s="20"/>
      <c r="CP7" s="20"/>
      <c r="CQ7" s="20"/>
      <c r="CR7" s="20"/>
      <c r="CS7" s="20"/>
      <c r="CT7" s="20"/>
      <c r="CU7" s="20"/>
      <c r="CV7" s="20"/>
      <c r="CW7" s="20"/>
      <c r="CX7" s="20"/>
      <c r="CY7" s="20"/>
    </row>
    <row r="8" spans="1:79" ht="15" customHeight="1">
      <c r="A8" s="27" t="s">
        <v>188</v>
      </c>
      <c r="B8" s="27" t="s">
        <v>182</v>
      </c>
      <c r="C8" s="124" t="str">
        <f t="shared" si="0"/>
        <v>Kassebeholdning og anfordringstilgodehavender hos centralbanker</v>
      </c>
      <c r="D8" s="262">
        <v>99035</v>
      </c>
      <c r="E8" s="262">
        <v>96803</v>
      </c>
      <c r="F8" s="262">
        <v>137358</v>
      </c>
      <c r="G8" s="262">
        <v>47593</v>
      </c>
      <c r="H8" s="262">
        <v>40997</v>
      </c>
      <c r="I8" s="262">
        <v>70445</v>
      </c>
      <c r="J8" s="262">
        <v>68023</v>
      </c>
      <c r="K8" s="262">
        <v>82023</v>
      </c>
      <c r="L8" s="262">
        <v>82818</v>
      </c>
      <c r="M8" s="262">
        <v>90401</v>
      </c>
      <c r="N8" s="262">
        <v>77364</v>
      </c>
      <c r="O8" s="262">
        <v>57917</v>
      </c>
      <c r="P8" s="262">
        <v>53211</v>
      </c>
      <c r="Q8" s="262">
        <v>64374</v>
      </c>
      <c r="R8" s="262">
        <v>57332</v>
      </c>
      <c r="S8" s="262">
        <v>69347</v>
      </c>
      <c r="T8" s="262">
        <v>76837</v>
      </c>
      <c r="U8" s="262">
        <v>58702</v>
      </c>
      <c r="V8" s="262">
        <v>125965</v>
      </c>
      <c r="W8" s="262">
        <v>85097</v>
      </c>
      <c r="X8" s="262">
        <v>33876</v>
      </c>
      <c r="Y8" s="262">
        <v>28636</v>
      </c>
      <c r="Z8" s="262">
        <v>40284</v>
      </c>
      <c r="AA8" s="262">
        <v>47581</v>
      </c>
      <c r="AB8" s="221">
        <v>43721</v>
      </c>
      <c r="AC8" s="221">
        <v>38512</v>
      </c>
      <c r="AD8" s="221">
        <v>66277</v>
      </c>
      <c r="AE8" s="221">
        <v>96143</v>
      </c>
      <c r="AF8" s="221">
        <v>97267</v>
      </c>
      <c r="AG8" s="221">
        <v>61812</v>
      </c>
      <c r="AH8" s="230">
        <v>36906</v>
      </c>
      <c r="AI8" s="230">
        <v>36097</v>
      </c>
      <c r="AJ8" s="230">
        <v>28617</v>
      </c>
      <c r="AK8" s="230">
        <v>19663</v>
      </c>
      <c r="AL8" s="230">
        <v>20444</v>
      </c>
      <c r="AM8" s="230">
        <v>26204</v>
      </c>
      <c r="AN8" s="229">
        <v>35403</v>
      </c>
      <c r="AO8" s="191">
        <v>21645</v>
      </c>
      <c r="AP8" s="191">
        <v>38724</v>
      </c>
      <c r="AQ8" s="191">
        <v>25352</v>
      </c>
      <c r="AR8" s="191">
        <v>33714</v>
      </c>
      <c r="AS8" s="191">
        <v>22930</v>
      </c>
      <c r="AT8" s="191">
        <v>19377</v>
      </c>
      <c r="AU8" s="191">
        <v>29056</v>
      </c>
      <c r="AV8" s="191">
        <v>16379</v>
      </c>
      <c r="AW8" s="191">
        <v>18995</v>
      </c>
      <c r="AX8" s="191">
        <v>15473</v>
      </c>
      <c r="AY8" s="191">
        <v>35807</v>
      </c>
      <c r="AZ8" s="176">
        <v>13861</v>
      </c>
      <c r="BA8" s="191">
        <v>13524</v>
      </c>
      <c r="BB8" s="191">
        <v>18934</v>
      </c>
      <c r="BC8" s="191">
        <v>17594</v>
      </c>
      <c r="BD8" s="191">
        <v>12319</v>
      </c>
      <c r="BE8" s="176">
        <v>17276</v>
      </c>
      <c r="BF8" s="37">
        <v>10364</v>
      </c>
      <c r="BG8" s="37">
        <v>29677</v>
      </c>
      <c r="BH8" s="37">
        <v>13881</v>
      </c>
      <c r="BI8" s="37">
        <v>17940</v>
      </c>
      <c r="BJ8" s="37">
        <v>5347</v>
      </c>
      <c r="BK8" s="37">
        <v>10257</v>
      </c>
      <c r="BL8" s="37">
        <v>7741</v>
      </c>
      <c r="BM8" s="37">
        <v>8491</v>
      </c>
      <c r="BN8" s="37">
        <v>4895</v>
      </c>
      <c r="BO8" s="37">
        <v>13780</v>
      </c>
      <c r="BP8" s="79"/>
      <c r="BQ8" s="144"/>
      <c r="BR8" s="144"/>
      <c r="BS8" s="74"/>
      <c r="BT8" s="73"/>
      <c r="BU8" s="73"/>
      <c r="BV8" s="73"/>
      <c r="BW8" s="73"/>
      <c r="BX8" s="73"/>
      <c r="BY8" s="73"/>
      <c r="BZ8" s="145"/>
      <c r="CA8" s="145"/>
    </row>
    <row r="9" spans="1:79" s="21" customFormat="1" ht="15" customHeight="1">
      <c r="A9" s="27" t="s">
        <v>189</v>
      </c>
      <c r="B9" s="27" t="s">
        <v>183</v>
      </c>
      <c r="C9" s="124" t="str">
        <f t="shared" si="0"/>
        <v>Tilgodehavender hos kreditinstitutter og centralbanker</v>
      </c>
      <c r="D9" s="262">
        <v>105674</v>
      </c>
      <c r="E9" s="262">
        <v>121218</v>
      </c>
      <c r="F9" s="262">
        <v>156627</v>
      </c>
      <c r="G9" s="262">
        <v>231503</v>
      </c>
      <c r="H9" s="262">
        <v>225600</v>
      </c>
      <c r="I9" s="262">
        <v>242940</v>
      </c>
      <c r="J9" s="262">
        <v>265433</v>
      </c>
      <c r="K9" s="262">
        <v>311583</v>
      </c>
      <c r="L9" s="262">
        <v>333975</v>
      </c>
      <c r="M9" s="262">
        <v>289165</v>
      </c>
      <c r="N9" s="262">
        <v>327839</v>
      </c>
      <c r="O9" s="262">
        <v>333239</v>
      </c>
      <c r="P9" s="262">
        <v>245479</v>
      </c>
      <c r="Q9" s="262">
        <v>255793</v>
      </c>
      <c r="R9" s="262">
        <v>186582</v>
      </c>
      <c r="S9" s="262">
        <v>127756</v>
      </c>
      <c r="T9" s="262">
        <v>103859</v>
      </c>
      <c r="U9" s="262">
        <v>184526</v>
      </c>
      <c r="V9" s="262">
        <v>185277</v>
      </c>
      <c r="W9" s="262">
        <v>173630</v>
      </c>
      <c r="X9" s="262">
        <v>112760</v>
      </c>
      <c r="Y9" s="262">
        <v>115212</v>
      </c>
      <c r="Z9" s="262">
        <v>114587</v>
      </c>
      <c r="AA9" s="262">
        <v>146395</v>
      </c>
      <c r="AB9" s="221">
        <v>131381</v>
      </c>
      <c r="AC9" s="221">
        <v>181518</v>
      </c>
      <c r="AD9" s="221">
        <v>165435</v>
      </c>
      <c r="AE9" s="221">
        <v>186097</v>
      </c>
      <c r="AF9" s="221">
        <v>200646</v>
      </c>
      <c r="AG9" s="221">
        <v>213823</v>
      </c>
      <c r="AH9" s="230">
        <v>154362</v>
      </c>
      <c r="AI9" s="230">
        <v>208466</v>
      </c>
      <c r="AJ9" s="230">
        <v>180870</v>
      </c>
      <c r="AK9" s="230">
        <v>145300</v>
      </c>
      <c r="AL9" s="230">
        <v>142088</v>
      </c>
      <c r="AM9" s="230">
        <v>170692</v>
      </c>
      <c r="AN9" s="229">
        <v>228100</v>
      </c>
      <c r="AO9" s="191">
        <v>218533</v>
      </c>
      <c r="AP9" s="191">
        <v>217100</v>
      </c>
      <c r="AQ9" s="191">
        <v>231222</v>
      </c>
      <c r="AR9" s="191">
        <v>202356</v>
      </c>
      <c r="AS9" s="191">
        <v>301880</v>
      </c>
      <c r="AT9" s="191">
        <v>261928</v>
      </c>
      <c r="AU9" s="191">
        <v>206842</v>
      </c>
      <c r="AV9" s="191">
        <v>215823</v>
      </c>
      <c r="AW9" s="191">
        <v>364847</v>
      </c>
      <c r="AX9" s="191">
        <v>378895</v>
      </c>
      <c r="AY9" s="191">
        <v>350673</v>
      </c>
      <c r="AZ9" s="176">
        <v>345959</v>
      </c>
      <c r="BA9" s="191">
        <v>313520</v>
      </c>
      <c r="BB9" s="191">
        <v>289967</v>
      </c>
      <c r="BC9" s="191">
        <v>293226</v>
      </c>
      <c r="BD9" s="191">
        <v>275268</v>
      </c>
      <c r="BE9" s="176">
        <v>305267</v>
      </c>
      <c r="BF9" s="37">
        <v>278570</v>
      </c>
      <c r="BG9" s="37">
        <v>275488</v>
      </c>
      <c r="BH9" s="37">
        <v>274918</v>
      </c>
      <c r="BI9" s="37">
        <v>215926</v>
      </c>
      <c r="BJ9" s="37">
        <v>259136</v>
      </c>
      <c r="BK9" s="37">
        <v>245078</v>
      </c>
      <c r="BL9" s="37">
        <v>230690</v>
      </c>
      <c r="BM9" s="37">
        <v>202383</v>
      </c>
      <c r="BN9" s="37">
        <v>208606</v>
      </c>
      <c r="BO9" s="37">
        <v>215255</v>
      </c>
      <c r="BP9" s="79"/>
      <c r="BQ9" s="79"/>
      <c r="BR9" s="79"/>
      <c r="BS9" s="79"/>
      <c r="BT9" s="146"/>
      <c r="BU9" s="146"/>
      <c r="BV9" s="146"/>
      <c r="BW9" s="146"/>
      <c r="BX9" s="146"/>
      <c r="BY9" s="146"/>
      <c r="BZ9" s="146"/>
      <c r="CA9" s="146"/>
    </row>
    <row r="10" spans="1:79" ht="15" customHeight="1">
      <c r="A10" s="27" t="s">
        <v>128</v>
      </c>
      <c r="B10" s="27" t="s">
        <v>201</v>
      </c>
      <c r="C10" s="124" t="str">
        <f>IF($B$1=1,B10,A10)</f>
        <v>Aktiver i handelsportefølje</v>
      </c>
      <c r="D10" s="262">
        <v>495321</v>
      </c>
      <c r="E10" s="262">
        <v>612102</v>
      </c>
      <c r="F10" s="262">
        <v>534067</v>
      </c>
      <c r="G10" s="262">
        <v>468444</v>
      </c>
      <c r="H10" s="262">
        <v>415818</v>
      </c>
      <c r="I10" s="262">
        <v>443767</v>
      </c>
      <c r="J10" s="262">
        <v>523460</v>
      </c>
      <c r="K10" s="262">
        <v>466739</v>
      </c>
      <c r="L10" s="262">
        <v>449292</v>
      </c>
      <c r="M10" s="262">
        <v>467607</v>
      </c>
      <c r="N10" s="262">
        <v>489463</v>
      </c>
      <c r="O10" s="262">
        <v>463752</v>
      </c>
      <c r="P10" s="262">
        <v>509679</v>
      </c>
      <c r="Q10" s="262">
        <v>552921</v>
      </c>
      <c r="R10" s="262">
        <v>577415</v>
      </c>
      <c r="S10" s="262">
        <v>566268</v>
      </c>
      <c r="T10" s="262">
        <v>547019</v>
      </c>
      <c r="U10" s="262">
        <v>559636</v>
      </c>
      <c r="V10" s="262">
        <v>596740</v>
      </c>
      <c r="W10" s="262">
        <v>800073</v>
      </c>
      <c r="X10" s="262">
        <v>742513</v>
      </c>
      <c r="Y10" s="262">
        <v>751138</v>
      </c>
      <c r="Z10" s="262">
        <v>696501</v>
      </c>
      <c r="AA10" s="262">
        <v>706907</v>
      </c>
      <c r="AB10" s="221">
        <v>695723</v>
      </c>
      <c r="AC10" s="221">
        <v>707571</v>
      </c>
      <c r="AD10" s="221">
        <v>721432</v>
      </c>
      <c r="AE10" s="221">
        <v>831669</v>
      </c>
      <c r="AF10" s="221">
        <v>812927</v>
      </c>
      <c r="AG10" s="221">
        <v>924903</v>
      </c>
      <c r="AH10" s="230">
        <v>862961</v>
      </c>
      <c r="AI10" s="230">
        <v>869047</v>
      </c>
      <c r="AJ10" s="230">
        <v>909755</v>
      </c>
      <c r="AK10" s="230">
        <v>911584</v>
      </c>
      <c r="AL10" s="230">
        <v>644915</v>
      </c>
      <c r="AM10" s="230">
        <v>630831</v>
      </c>
      <c r="AN10" s="229">
        <v>641993</v>
      </c>
      <c r="AO10" s="191">
        <v>810111</v>
      </c>
      <c r="AP10" s="191">
        <v>775937</v>
      </c>
      <c r="AQ10" s="191">
        <v>665664</v>
      </c>
      <c r="AR10" s="191">
        <v>620052</v>
      </c>
      <c r="AS10" s="191">
        <v>649879</v>
      </c>
      <c r="AT10" s="191">
        <v>617493</v>
      </c>
      <c r="AU10" s="191">
        <v>719675</v>
      </c>
      <c r="AV10" s="191">
        <v>860788</v>
      </c>
      <c r="AW10" s="191">
        <v>747052</v>
      </c>
      <c r="AX10" s="191">
        <v>756536</v>
      </c>
      <c r="AY10" s="191">
        <v>710982</v>
      </c>
      <c r="AZ10" s="176">
        <v>652137</v>
      </c>
      <c r="BA10" s="191">
        <v>587228</v>
      </c>
      <c r="BB10" s="191">
        <v>539256</v>
      </c>
      <c r="BC10" s="191">
        <v>475451</v>
      </c>
      <c r="BD10" s="191">
        <v>490954</v>
      </c>
      <c r="BE10" s="176">
        <v>431660</v>
      </c>
      <c r="BF10" s="37">
        <v>394124</v>
      </c>
      <c r="BG10" s="37">
        <v>357484</v>
      </c>
      <c r="BH10" s="37">
        <v>444521</v>
      </c>
      <c r="BI10" s="37">
        <v>456773</v>
      </c>
      <c r="BJ10" s="37">
        <v>555310</v>
      </c>
      <c r="BK10" s="37">
        <v>468076</v>
      </c>
      <c r="BL10" s="37">
        <v>422547</v>
      </c>
      <c r="BM10" s="37">
        <v>385634</v>
      </c>
      <c r="BN10" s="37">
        <v>337315</v>
      </c>
      <c r="BO10" s="37">
        <v>367654</v>
      </c>
      <c r="BP10" s="74"/>
      <c r="BQ10" s="147"/>
      <c r="BR10" s="147"/>
      <c r="BS10" s="74"/>
      <c r="BT10" s="73"/>
      <c r="BU10" s="73"/>
      <c r="BV10" s="73"/>
      <c r="BW10" s="73"/>
      <c r="BX10" s="73"/>
      <c r="BY10" s="73"/>
      <c r="BZ10" s="145"/>
      <c r="CA10" s="145"/>
    </row>
    <row r="11" spans="1:79" s="105" customFormat="1" ht="15" customHeight="1">
      <c r="A11" s="27" t="s">
        <v>129</v>
      </c>
      <c r="B11" s="27" t="s">
        <v>202</v>
      </c>
      <c r="C11" s="124" t="str">
        <f>IF($B$1=1,B11,A11)</f>
        <v>Finansielle investeringsaktiver</v>
      </c>
      <c r="D11" s="262">
        <v>284873</v>
      </c>
      <c r="E11" s="262">
        <v>285920</v>
      </c>
      <c r="F11" s="262">
        <v>265507</v>
      </c>
      <c r="G11" s="262">
        <v>264909</v>
      </c>
      <c r="H11" s="262">
        <v>276424</v>
      </c>
      <c r="I11" s="262">
        <v>275230</v>
      </c>
      <c r="J11" s="262">
        <v>274104</v>
      </c>
      <c r="K11" s="262">
        <v>281317</v>
      </c>
      <c r="L11" s="262">
        <v>324618</v>
      </c>
      <c r="M11" s="262">
        <v>324181</v>
      </c>
      <c r="N11" s="262">
        <v>331817</v>
      </c>
      <c r="O11" s="262">
        <v>337105</v>
      </c>
      <c r="P11" s="262">
        <v>343337</v>
      </c>
      <c r="Q11" s="262">
        <v>335425</v>
      </c>
      <c r="R11" s="262">
        <v>333321</v>
      </c>
      <c r="S11" s="262">
        <v>335965</v>
      </c>
      <c r="T11" s="262">
        <v>343304</v>
      </c>
      <c r="U11" s="262">
        <v>336081</v>
      </c>
      <c r="V11" s="262">
        <v>330926</v>
      </c>
      <c r="W11" s="262">
        <v>321892</v>
      </c>
      <c r="X11" s="262">
        <v>330994</v>
      </c>
      <c r="Y11" s="262">
        <v>309345</v>
      </c>
      <c r="Z11" s="262">
        <v>207171</v>
      </c>
      <c r="AA11" s="262">
        <v>202060</v>
      </c>
      <c r="AB11" s="221">
        <v>161917</v>
      </c>
      <c r="AC11" s="221">
        <v>121713</v>
      </c>
      <c r="AD11" s="221">
        <v>121526</v>
      </c>
      <c r="AE11" s="221">
        <v>113643</v>
      </c>
      <c r="AF11" s="221">
        <v>107724</v>
      </c>
      <c r="AG11" s="221">
        <v>103940</v>
      </c>
      <c r="AH11" s="230">
        <v>105480</v>
      </c>
      <c r="AI11" s="230">
        <v>108282</v>
      </c>
      <c r="AJ11" s="230">
        <v>109264</v>
      </c>
      <c r="AK11" s="230">
        <v>108465</v>
      </c>
      <c r="AL11" s="230">
        <v>111061</v>
      </c>
      <c r="AM11" s="230">
        <v>110897</v>
      </c>
      <c r="AN11" s="229">
        <v>118556</v>
      </c>
      <c r="AO11" s="191">
        <v>119685</v>
      </c>
      <c r="AP11" s="191">
        <v>116523</v>
      </c>
      <c r="AQ11" s="191">
        <v>118053</v>
      </c>
      <c r="AR11" s="191">
        <v>118979</v>
      </c>
      <c r="AS11" s="191">
        <v>138062</v>
      </c>
      <c r="AT11" s="191">
        <v>147275</v>
      </c>
      <c r="AU11" s="191">
        <v>146488</v>
      </c>
      <c r="AV11" s="191">
        <v>140793</v>
      </c>
      <c r="AW11" s="191">
        <v>44488</v>
      </c>
      <c r="AX11" s="191">
        <v>46085</v>
      </c>
      <c r="AY11" s="191">
        <v>42685</v>
      </c>
      <c r="AZ11" s="176">
        <v>37651</v>
      </c>
      <c r="BA11" s="191">
        <v>33309</v>
      </c>
      <c r="BB11" s="191">
        <v>32728</v>
      </c>
      <c r="BC11" s="191">
        <v>26124</v>
      </c>
      <c r="BD11" s="191">
        <v>26338</v>
      </c>
      <c r="BE11" s="176">
        <v>29035</v>
      </c>
      <c r="BF11" s="37">
        <v>26215</v>
      </c>
      <c r="BG11" s="37">
        <v>31790</v>
      </c>
      <c r="BH11" s="37">
        <v>28712</v>
      </c>
      <c r="BI11" s="37">
        <v>51262</v>
      </c>
      <c r="BJ11" s="37">
        <v>39051</v>
      </c>
      <c r="BK11" s="37">
        <v>34555</v>
      </c>
      <c r="BL11" s="37">
        <v>31505</v>
      </c>
      <c r="BM11" s="37">
        <v>46580</v>
      </c>
      <c r="BN11" s="37">
        <v>39828</v>
      </c>
      <c r="BO11" s="37">
        <v>39023</v>
      </c>
      <c r="BP11" s="79"/>
      <c r="BQ11" s="148"/>
      <c r="BR11" s="148"/>
      <c r="BS11" s="79"/>
      <c r="BT11" s="146"/>
      <c r="BU11" s="146"/>
      <c r="BV11" s="146"/>
      <c r="BW11" s="146"/>
      <c r="BX11" s="146"/>
      <c r="BY11" s="146"/>
      <c r="BZ11" s="149"/>
      <c r="CA11" s="149"/>
    </row>
    <row r="12" spans="1:79" ht="15" customHeight="1">
      <c r="A12" s="27" t="s">
        <v>269</v>
      </c>
      <c r="B12" s="27" t="s">
        <v>270</v>
      </c>
      <c r="C12" s="124" t="str">
        <f t="shared" si="0"/>
        <v>Udlån til amortiseret kostpris</v>
      </c>
      <c r="D12" s="262">
        <v>1028011</v>
      </c>
      <c r="E12" s="262">
        <v>1018773</v>
      </c>
      <c r="F12" s="262">
        <v>1014937</v>
      </c>
      <c r="G12" s="262">
        <v>1004334</v>
      </c>
      <c r="H12" s="262">
        <v>986240</v>
      </c>
      <c r="I12" s="262">
        <v>978399</v>
      </c>
      <c r="J12" s="262">
        <v>971964</v>
      </c>
      <c r="K12" s="262">
        <v>955335</v>
      </c>
      <c r="L12" s="262">
        <v>1112752</v>
      </c>
      <c r="M12" s="262">
        <v>1143833</v>
      </c>
      <c r="N12" s="262">
        <v>1136847</v>
      </c>
      <c r="O12" s="262">
        <v>1145705</v>
      </c>
      <c r="P12" s="262">
        <v>1141567</v>
      </c>
      <c r="Q12" s="262">
        <v>1127393</v>
      </c>
      <c r="R12" s="262">
        <v>1141990</v>
      </c>
      <c r="S12" s="262">
        <v>1131658</v>
      </c>
      <c r="T12" s="262">
        <v>1079257</v>
      </c>
      <c r="U12" s="262">
        <v>1072700</v>
      </c>
      <c r="V12" s="262">
        <v>1068246</v>
      </c>
      <c r="W12" s="262">
        <v>1113192</v>
      </c>
      <c r="X12" s="262">
        <v>1092902</v>
      </c>
      <c r="Y12" s="262">
        <v>1091964</v>
      </c>
      <c r="Z12" s="262">
        <v>1084773</v>
      </c>
      <c r="AA12" s="262">
        <v>1094602</v>
      </c>
      <c r="AB12" s="221">
        <v>1088728</v>
      </c>
      <c r="AC12" s="221">
        <v>1122988</v>
      </c>
      <c r="AD12" s="221">
        <v>1152056</v>
      </c>
      <c r="AE12" s="221">
        <v>1169599</v>
      </c>
      <c r="AF12" s="221">
        <v>1161816</v>
      </c>
      <c r="AG12" s="221">
        <v>1207499</v>
      </c>
      <c r="AH12" s="230">
        <v>1242364</v>
      </c>
      <c r="AI12" s="230">
        <v>1205235</v>
      </c>
      <c r="AJ12" s="230">
        <v>1126482</v>
      </c>
      <c r="AK12" s="230">
        <v>1135217</v>
      </c>
      <c r="AL12" s="230">
        <v>1168498</v>
      </c>
      <c r="AM12" s="230">
        <v>1149259</v>
      </c>
      <c r="AN12" s="229">
        <v>1146731</v>
      </c>
      <c r="AO12" s="191">
        <v>1138322</v>
      </c>
      <c r="AP12" s="191">
        <v>1177776</v>
      </c>
      <c r="AQ12" s="191">
        <v>1150125</v>
      </c>
      <c r="AR12" s="191">
        <v>1127142</v>
      </c>
      <c r="AS12" s="191">
        <v>1188473</v>
      </c>
      <c r="AT12" s="191">
        <v>1214501</v>
      </c>
      <c r="AU12" s="191">
        <v>1274664</v>
      </c>
      <c r="AV12" s="191">
        <v>1352113</v>
      </c>
      <c r="AW12" s="191">
        <v>1400277</v>
      </c>
      <c r="AX12" s="191">
        <v>1360989</v>
      </c>
      <c r="AY12" s="191">
        <v>1354902</v>
      </c>
      <c r="AZ12" s="176">
        <v>1360413</v>
      </c>
      <c r="BA12" s="191">
        <f>289230+1041262</f>
        <v>1330492</v>
      </c>
      <c r="BB12" s="191">
        <f>991129+293930</f>
        <v>1285059</v>
      </c>
      <c r="BC12" s="191">
        <f>294916+932784</f>
        <v>1227700</v>
      </c>
      <c r="BD12" s="191">
        <v>1054322</v>
      </c>
      <c r="BE12" s="176">
        <v>1007570</v>
      </c>
      <c r="BF12" s="37">
        <v>973041</v>
      </c>
      <c r="BG12" s="37">
        <v>860591</v>
      </c>
      <c r="BH12" s="37">
        <v>829603</v>
      </c>
      <c r="BI12" s="37">
        <v>824661</v>
      </c>
      <c r="BJ12" s="37">
        <v>766921</v>
      </c>
      <c r="BK12" s="37">
        <v>738880</v>
      </c>
      <c r="BL12" s="37">
        <v>615238</v>
      </c>
      <c r="BM12" s="37">
        <v>613921</v>
      </c>
      <c r="BN12" s="37">
        <v>585924</v>
      </c>
      <c r="BO12" s="37">
        <v>567251</v>
      </c>
      <c r="BP12" s="74"/>
      <c r="BQ12" s="74"/>
      <c r="BR12" s="74"/>
      <c r="BS12" s="74"/>
      <c r="BT12" s="73"/>
      <c r="BU12" s="73"/>
      <c r="BV12" s="73"/>
      <c r="BW12" s="73"/>
      <c r="BX12" s="73"/>
      <c r="BY12" s="73"/>
      <c r="BZ12" s="145"/>
      <c r="CA12" s="145"/>
    </row>
    <row r="13" spans="1:79" ht="15" customHeight="1">
      <c r="A13" s="27" t="s">
        <v>213</v>
      </c>
      <c r="B13" s="27" t="s">
        <v>200</v>
      </c>
      <c r="C13" s="124" t="str">
        <f t="shared" si="0"/>
        <v>Udlån til dagsværdi</v>
      </c>
      <c r="D13" s="262">
        <v>1122048</v>
      </c>
      <c r="E13" s="262">
        <v>1144030</v>
      </c>
      <c r="F13" s="262">
        <v>1058493</v>
      </c>
      <c r="G13" s="262">
        <v>1059489</v>
      </c>
      <c r="H13" s="262">
        <v>1057340</v>
      </c>
      <c r="I13" s="262">
        <v>1079927</v>
      </c>
      <c r="J13" s="262">
        <v>1024751</v>
      </c>
      <c r="K13" s="262">
        <v>1000923</v>
      </c>
      <c r="L13" s="262">
        <v>787223</v>
      </c>
      <c r="M13" s="262">
        <v>784638</v>
      </c>
      <c r="N13" s="262">
        <v>772356</v>
      </c>
      <c r="O13" s="262">
        <v>770440</v>
      </c>
      <c r="P13" s="262">
        <v>766003</v>
      </c>
      <c r="Q13" s="262">
        <v>765547</v>
      </c>
      <c r="R13" s="262">
        <v>757222</v>
      </c>
      <c r="S13" s="262">
        <v>748774</v>
      </c>
      <c r="T13" s="262">
        <v>741660</v>
      </c>
      <c r="U13" s="262">
        <v>740105</v>
      </c>
      <c r="V13" s="262">
        <v>737370</v>
      </c>
      <c r="W13" s="262">
        <v>745902</v>
      </c>
      <c r="X13" s="262">
        <v>741609</v>
      </c>
      <c r="Y13" s="262">
        <v>744244</v>
      </c>
      <c r="Z13" s="262">
        <v>740197</v>
      </c>
      <c r="AA13" s="262">
        <v>737027</v>
      </c>
      <c r="AB13" s="221">
        <v>728081</v>
      </c>
      <c r="AC13" s="221">
        <v>727086</v>
      </c>
      <c r="AD13" s="221">
        <v>726433</v>
      </c>
      <c r="AE13" s="221">
        <v>731337</v>
      </c>
      <c r="AF13" s="221">
        <v>732762</v>
      </c>
      <c r="AG13" s="221">
        <v>725795</v>
      </c>
      <c r="AH13" s="230">
        <v>721637</v>
      </c>
      <c r="AI13" s="230">
        <v>718744</v>
      </c>
      <c r="AJ13" s="230">
        <v>720741</v>
      </c>
      <c r="AK13" s="230">
        <v>713497</v>
      </c>
      <c r="AL13" s="230">
        <v>696403</v>
      </c>
      <c r="AM13" s="230">
        <v>691096</v>
      </c>
      <c r="AN13" s="229">
        <v>701715</v>
      </c>
      <c r="AO13" s="191">
        <v>707712</v>
      </c>
      <c r="AP13" s="191">
        <v>703818</v>
      </c>
      <c r="AQ13" s="191">
        <v>695096</v>
      </c>
      <c r="AR13" s="191">
        <v>688473</v>
      </c>
      <c r="AS13" s="191">
        <v>692122</v>
      </c>
      <c r="AT13" s="191">
        <v>683577</v>
      </c>
      <c r="AU13" s="191">
        <v>679220</v>
      </c>
      <c r="AV13" s="191">
        <v>667181</v>
      </c>
      <c r="AW13" s="191">
        <v>640524</v>
      </c>
      <c r="AX13" s="191">
        <v>632474</v>
      </c>
      <c r="AY13" s="191">
        <v>639876</v>
      </c>
      <c r="AZ13" s="176">
        <v>627809</v>
      </c>
      <c r="BA13" s="191">
        <v>614033</v>
      </c>
      <c r="BB13" s="191">
        <v>600337</v>
      </c>
      <c r="BC13" s="191">
        <v>607725</v>
      </c>
      <c r="BD13" s="191">
        <v>602584</v>
      </c>
      <c r="BE13" s="176">
        <v>592784</v>
      </c>
      <c r="BF13" s="37">
        <v>573105</v>
      </c>
      <c r="BG13" s="37">
        <v>567002</v>
      </c>
      <c r="BH13" s="37">
        <v>569092</v>
      </c>
      <c r="BI13" s="37">
        <v>557717</v>
      </c>
      <c r="BJ13" s="37">
        <v>545801</v>
      </c>
      <c r="BK13" s="37">
        <v>531206</v>
      </c>
      <c r="BL13" s="37">
        <v>524428</v>
      </c>
      <c r="BM13" s="37">
        <v>515900</v>
      </c>
      <c r="BN13" s="37">
        <v>509427</v>
      </c>
      <c r="BO13" s="37">
        <v>512016</v>
      </c>
      <c r="BP13" s="74"/>
      <c r="BQ13" s="147"/>
      <c r="BR13" s="147"/>
      <c r="BS13" s="74"/>
      <c r="BT13" s="73"/>
      <c r="BU13" s="73"/>
      <c r="BV13" s="73"/>
      <c r="BW13" s="73"/>
      <c r="BX13" s="73"/>
      <c r="BY13" s="73"/>
      <c r="BZ13" s="145"/>
      <c r="CA13" s="145"/>
    </row>
    <row r="14" spans="1:79" ht="15" customHeight="1">
      <c r="A14" s="27" t="s">
        <v>186</v>
      </c>
      <c r="B14" s="27" t="s">
        <v>203</v>
      </c>
      <c r="C14" s="124" t="str">
        <f t="shared" si="0"/>
        <v>Aktiver i puljer og  unit-link investeringskontrakter</v>
      </c>
      <c r="D14" s="262">
        <v>111089</v>
      </c>
      <c r="E14" s="262">
        <v>96921</v>
      </c>
      <c r="F14" s="262">
        <v>94818</v>
      </c>
      <c r="G14" s="262">
        <v>92952</v>
      </c>
      <c r="H14" s="262">
        <v>93988</v>
      </c>
      <c r="I14" s="262">
        <v>149108</v>
      </c>
      <c r="J14" s="262">
        <v>144773</v>
      </c>
      <c r="K14" s="262">
        <v>110648</v>
      </c>
      <c r="L14" s="262">
        <v>112065</v>
      </c>
      <c r="M14" s="262">
        <v>109774</v>
      </c>
      <c r="N14" s="262">
        <v>106045</v>
      </c>
      <c r="O14" s="262">
        <v>105125</v>
      </c>
      <c r="P14" s="262">
        <v>99848</v>
      </c>
      <c r="Q14" s="262">
        <v>94092</v>
      </c>
      <c r="R14" s="262">
        <v>91499</v>
      </c>
      <c r="S14" s="262">
        <v>91140</v>
      </c>
      <c r="T14" s="262">
        <v>91893</v>
      </c>
      <c r="U14" s="262">
        <v>85366</v>
      </c>
      <c r="V14" s="262">
        <v>90081</v>
      </c>
      <c r="W14" s="262">
        <v>90151</v>
      </c>
      <c r="X14" s="262">
        <v>80148</v>
      </c>
      <c r="Y14" s="262">
        <v>79969</v>
      </c>
      <c r="Z14" s="262">
        <v>78480</v>
      </c>
      <c r="AA14" s="262">
        <v>74101</v>
      </c>
      <c r="AB14" s="221">
        <v>74761</v>
      </c>
      <c r="AC14" s="221">
        <v>70034</v>
      </c>
      <c r="AD14" s="221">
        <v>69687</v>
      </c>
      <c r="AE14" s="221">
        <v>73290</v>
      </c>
      <c r="AF14" s="221">
        <v>70625</v>
      </c>
      <c r="AG14" s="221">
        <v>69630</v>
      </c>
      <c r="AH14" s="230">
        <v>65377</v>
      </c>
      <c r="AI14" s="230">
        <v>66324</v>
      </c>
      <c r="AJ14" s="230">
        <v>61888</v>
      </c>
      <c r="AK14" s="230">
        <v>58762</v>
      </c>
      <c r="AL14" s="230">
        <v>64956</v>
      </c>
      <c r="AM14" s="230">
        <v>63738</v>
      </c>
      <c r="AN14" s="229">
        <v>59698</v>
      </c>
      <c r="AO14" s="191">
        <v>57213</v>
      </c>
      <c r="AP14" s="191">
        <v>54854</v>
      </c>
      <c r="AQ14" s="191">
        <v>52495</v>
      </c>
      <c r="AR14" s="191">
        <v>45909</v>
      </c>
      <c r="AS14" s="191">
        <v>43036</v>
      </c>
      <c r="AT14" s="191">
        <v>39228</v>
      </c>
      <c r="AU14" s="191">
        <v>34431</v>
      </c>
      <c r="AV14" s="191">
        <v>34635</v>
      </c>
      <c r="AW14" s="191">
        <v>39585</v>
      </c>
      <c r="AX14" s="191">
        <v>40238</v>
      </c>
      <c r="AY14" s="191">
        <v>39836</v>
      </c>
      <c r="AZ14" s="176">
        <v>40758</v>
      </c>
      <c r="BA14" s="191">
        <v>38792</v>
      </c>
      <c r="BB14" s="191">
        <v>40215</v>
      </c>
      <c r="BC14" s="191">
        <v>39006</v>
      </c>
      <c r="BD14" s="191">
        <v>39602</v>
      </c>
      <c r="BE14" s="176">
        <v>37945</v>
      </c>
      <c r="BF14" s="37">
        <v>36540</v>
      </c>
      <c r="BG14" s="37">
        <v>37501</v>
      </c>
      <c r="BH14" s="37">
        <v>35676</v>
      </c>
      <c r="BI14" s="37">
        <v>33565</v>
      </c>
      <c r="BJ14" s="37">
        <v>32143</v>
      </c>
      <c r="BK14" s="37">
        <v>32619</v>
      </c>
      <c r="BL14" s="37">
        <v>29207</v>
      </c>
      <c r="BM14" s="37">
        <v>28995</v>
      </c>
      <c r="BN14" s="37">
        <v>28114</v>
      </c>
      <c r="BO14" s="37">
        <v>28299</v>
      </c>
      <c r="BP14" s="74"/>
      <c r="BQ14" s="147"/>
      <c r="BR14" s="147"/>
      <c r="BS14" s="74"/>
      <c r="BT14" s="73"/>
      <c r="BU14" s="73"/>
      <c r="BV14" s="73"/>
      <c r="BW14" s="73"/>
      <c r="BX14" s="73"/>
      <c r="BY14" s="73"/>
      <c r="BZ14" s="145"/>
      <c r="CA14" s="145"/>
    </row>
    <row r="15" spans="1:79" ht="15" customHeight="1">
      <c r="A15" s="27" t="s">
        <v>130</v>
      </c>
      <c r="B15" s="27" t="s">
        <v>204</v>
      </c>
      <c r="C15" s="124" t="str">
        <f aca="true" t="shared" si="1" ref="C15:C21">IF($B$1=1,B15,A15)</f>
        <v>Aktiver vedr. forsikringskontrakter</v>
      </c>
      <c r="D15" s="262">
        <v>463816</v>
      </c>
      <c r="E15" s="262">
        <v>527979</v>
      </c>
      <c r="F15" s="262">
        <v>459406</v>
      </c>
      <c r="G15" s="262">
        <v>424824</v>
      </c>
      <c r="H15" s="262">
        <v>377369</v>
      </c>
      <c r="I15" s="262">
        <v>385391</v>
      </c>
      <c r="J15" s="262">
        <v>385833</v>
      </c>
      <c r="K15" s="262">
        <v>284603</v>
      </c>
      <c r="L15" s="262">
        <v>296867</v>
      </c>
      <c r="M15" s="262">
        <v>297538</v>
      </c>
      <c r="N15" s="262">
        <v>290620</v>
      </c>
      <c r="O15" s="262">
        <v>289697</v>
      </c>
      <c r="P15" s="262">
        <v>285398</v>
      </c>
      <c r="Q15" s="262">
        <v>309412</v>
      </c>
      <c r="R15" s="262">
        <v>294647</v>
      </c>
      <c r="S15" s="262">
        <v>268338</v>
      </c>
      <c r="T15" s="262">
        <v>265572</v>
      </c>
      <c r="U15" s="262">
        <v>259960</v>
      </c>
      <c r="V15" s="262">
        <v>269214</v>
      </c>
      <c r="W15" s="262">
        <v>286539</v>
      </c>
      <c r="X15" s="262">
        <v>268450</v>
      </c>
      <c r="Y15" s="262">
        <v>263338</v>
      </c>
      <c r="Z15" s="262">
        <v>259052</v>
      </c>
      <c r="AA15" s="262">
        <v>251323</v>
      </c>
      <c r="AB15" s="221">
        <v>246484</v>
      </c>
      <c r="AC15" s="221">
        <v>244343</v>
      </c>
      <c r="AD15" s="221">
        <v>239839</v>
      </c>
      <c r="AE15" s="221">
        <v>241838</v>
      </c>
      <c r="AF15" s="221">
        <v>241343</v>
      </c>
      <c r="AG15" s="221">
        <v>237232</v>
      </c>
      <c r="AH15" s="230">
        <v>237717</v>
      </c>
      <c r="AI15" s="230">
        <v>234295</v>
      </c>
      <c r="AJ15" s="230">
        <v>230668</v>
      </c>
      <c r="AK15" s="230">
        <v>225568</v>
      </c>
      <c r="AL15" s="230">
        <v>222203</v>
      </c>
      <c r="AM15" s="230">
        <v>218980</v>
      </c>
      <c r="AN15" s="229">
        <v>217515</v>
      </c>
      <c r="AO15" s="191">
        <v>220524</v>
      </c>
      <c r="AP15" s="191">
        <v>211830</v>
      </c>
      <c r="AQ15" s="191">
        <v>207112</v>
      </c>
      <c r="AR15" s="191">
        <v>196944</v>
      </c>
      <c r="AS15" s="191">
        <v>196482</v>
      </c>
      <c r="AT15" s="191">
        <v>188382</v>
      </c>
      <c r="AU15" s="191">
        <v>182403</v>
      </c>
      <c r="AV15" s="191">
        <v>181259</v>
      </c>
      <c r="AW15" s="191">
        <v>183908</v>
      </c>
      <c r="AX15" s="191">
        <v>183226</v>
      </c>
      <c r="AY15" s="191">
        <v>186912</v>
      </c>
      <c r="AZ15" s="176">
        <v>190223</v>
      </c>
      <c r="BA15" s="191">
        <v>192893</v>
      </c>
      <c r="BB15" s="191">
        <v>194564</v>
      </c>
      <c r="BC15" s="191">
        <v>195069</v>
      </c>
      <c r="BD15" s="191">
        <v>194302</v>
      </c>
      <c r="BE15" s="176">
        <v>190226</v>
      </c>
      <c r="BF15" s="37">
        <v>181366</v>
      </c>
      <c r="BG15" s="37">
        <v>187732</v>
      </c>
      <c r="BH15" s="37">
        <v>188342</v>
      </c>
      <c r="BI15" s="37">
        <v>192449</v>
      </c>
      <c r="BJ15" s="37">
        <v>185610</v>
      </c>
      <c r="BK15" s="37">
        <v>169984</v>
      </c>
      <c r="BL15" s="37">
        <v>163205</v>
      </c>
      <c r="BM15" s="37">
        <v>157913</v>
      </c>
      <c r="BN15" s="37">
        <v>148714</v>
      </c>
      <c r="BO15" s="37">
        <v>149749</v>
      </c>
      <c r="BP15" s="74"/>
      <c r="BQ15" s="147"/>
      <c r="BR15" s="147"/>
      <c r="BS15" s="74"/>
      <c r="BT15" s="73"/>
      <c r="BU15" s="73"/>
      <c r="BV15" s="73"/>
      <c r="BW15" s="73"/>
      <c r="BX15" s="73"/>
      <c r="BY15" s="73"/>
      <c r="BZ15" s="145"/>
      <c r="CA15" s="145"/>
    </row>
    <row r="16" spans="1:79" ht="15" customHeight="1">
      <c r="A16" s="27" t="s">
        <v>214</v>
      </c>
      <c r="B16" s="27" t="s">
        <v>140</v>
      </c>
      <c r="C16" s="124" t="str">
        <f t="shared" si="1"/>
        <v>Kapitalandele i associerede virksomheder</v>
      </c>
      <c r="D16" s="262">
        <v>341</v>
      </c>
      <c r="E16" s="262">
        <v>365</v>
      </c>
      <c r="F16" s="262">
        <v>385</v>
      </c>
      <c r="G16" s="262">
        <v>381</v>
      </c>
      <c r="H16" s="262">
        <v>381</v>
      </c>
      <c r="I16" s="262">
        <v>461</v>
      </c>
      <c r="J16" s="262">
        <v>450</v>
      </c>
      <c r="K16" s="262">
        <v>483</v>
      </c>
      <c r="L16" s="262">
        <v>455</v>
      </c>
      <c r="M16" s="262">
        <v>420</v>
      </c>
      <c r="N16" s="262">
        <v>668</v>
      </c>
      <c r="O16" s="262">
        <v>658</v>
      </c>
      <c r="P16" s="262">
        <v>653</v>
      </c>
      <c r="Q16" s="262">
        <v>1355</v>
      </c>
      <c r="R16" s="262">
        <v>1130</v>
      </c>
      <c r="S16" s="262">
        <v>1229</v>
      </c>
      <c r="T16" s="262">
        <v>1209</v>
      </c>
      <c r="U16" s="262">
        <v>1148</v>
      </c>
      <c r="V16" s="262">
        <v>1214</v>
      </c>
      <c r="W16" s="262">
        <v>1214</v>
      </c>
      <c r="X16" s="262">
        <v>1318</v>
      </c>
      <c r="Y16" s="262">
        <v>1363</v>
      </c>
      <c r="Z16" s="262">
        <v>1215</v>
      </c>
      <c r="AA16" s="262">
        <v>1239</v>
      </c>
      <c r="AB16" s="221">
        <v>1376</v>
      </c>
      <c r="AC16" s="221">
        <v>1373</v>
      </c>
      <c r="AD16" s="221">
        <v>1421</v>
      </c>
      <c r="AE16" s="221">
        <v>1173</v>
      </c>
      <c r="AF16" s="221">
        <v>1118</v>
      </c>
      <c r="AG16" s="221">
        <v>1131</v>
      </c>
      <c r="AH16" s="230">
        <v>1086</v>
      </c>
      <c r="AI16" s="230">
        <v>1045</v>
      </c>
      <c r="AJ16" s="230">
        <v>989</v>
      </c>
      <c r="AK16" s="230">
        <v>1069</v>
      </c>
      <c r="AL16" s="230">
        <v>1028</v>
      </c>
      <c r="AM16" s="230">
        <v>1051</v>
      </c>
      <c r="AN16" s="229">
        <v>1040</v>
      </c>
      <c r="AO16" s="191">
        <v>989</v>
      </c>
      <c r="AP16" s="191">
        <v>994</v>
      </c>
      <c r="AQ16" s="191">
        <v>1182</v>
      </c>
      <c r="AR16" s="191">
        <v>1086</v>
      </c>
      <c r="AS16" s="191">
        <v>1006</v>
      </c>
      <c r="AT16" s="191">
        <v>961</v>
      </c>
      <c r="AU16" s="191">
        <v>977</v>
      </c>
      <c r="AV16" s="191">
        <v>939</v>
      </c>
      <c r="AW16" s="191">
        <v>1105</v>
      </c>
      <c r="AX16" s="191">
        <v>1084</v>
      </c>
      <c r="AY16" s="191">
        <v>1118</v>
      </c>
      <c r="AZ16" s="176">
        <v>1128</v>
      </c>
      <c r="BA16" s="191">
        <v>984</v>
      </c>
      <c r="BB16" s="191">
        <v>977</v>
      </c>
      <c r="BC16" s="191">
        <v>1114</v>
      </c>
      <c r="BD16" s="191">
        <v>971</v>
      </c>
      <c r="BE16" s="176">
        <v>941</v>
      </c>
      <c r="BF16" s="37">
        <v>917</v>
      </c>
      <c r="BG16" s="37">
        <v>991</v>
      </c>
      <c r="BH16" s="37">
        <v>1044</v>
      </c>
      <c r="BI16" s="37">
        <v>979</v>
      </c>
      <c r="BJ16" s="37">
        <v>681</v>
      </c>
      <c r="BK16" s="37">
        <v>651</v>
      </c>
      <c r="BL16" s="37">
        <v>1308</v>
      </c>
      <c r="BM16" s="37">
        <v>1423</v>
      </c>
      <c r="BN16" s="37">
        <v>1395</v>
      </c>
      <c r="BO16" s="37">
        <v>1419</v>
      </c>
      <c r="BP16" s="74"/>
      <c r="BQ16" s="147"/>
      <c r="BR16" s="147"/>
      <c r="BS16" s="74"/>
      <c r="BT16" s="73"/>
      <c r="BU16" s="73"/>
      <c r="BV16" s="73"/>
      <c r="BW16" s="73"/>
      <c r="BX16" s="73"/>
      <c r="BY16" s="73"/>
      <c r="BZ16" s="145"/>
      <c r="CA16" s="145"/>
    </row>
    <row r="17" spans="1:79" ht="15" customHeight="1">
      <c r="A17" s="27" t="s">
        <v>165</v>
      </c>
      <c r="B17" s="27" t="s">
        <v>166</v>
      </c>
      <c r="C17" s="124" t="str">
        <f t="shared" si="1"/>
        <v>Immaterielle aktiver</v>
      </c>
      <c r="D17" s="262">
        <v>9167</v>
      </c>
      <c r="E17" s="262">
        <v>11071</v>
      </c>
      <c r="F17" s="262">
        <v>11118</v>
      </c>
      <c r="G17" s="262">
        <v>11147</v>
      </c>
      <c r="H17" s="262">
        <v>11224</v>
      </c>
      <c r="I17" s="262">
        <v>11185</v>
      </c>
      <c r="J17" s="262">
        <v>11125</v>
      </c>
      <c r="K17" s="262">
        <v>7174</v>
      </c>
      <c r="L17" s="262">
        <v>7177</v>
      </c>
      <c r="M17" s="262">
        <v>7087</v>
      </c>
      <c r="N17" s="262">
        <v>6963</v>
      </c>
      <c r="O17" s="262">
        <v>6852</v>
      </c>
      <c r="P17" s="262">
        <v>6790</v>
      </c>
      <c r="Q17" s="262">
        <v>6670</v>
      </c>
      <c r="R17" s="262">
        <v>6587</v>
      </c>
      <c r="S17" s="262">
        <v>6538</v>
      </c>
      <c r="T17" s="262">
        <v>6505</v>
      </c>
      <c r="U17" s="262">
        <v>11060</v>
      </c>
      <c r="V17" s="262">
        <v>11148</v>
      </c>
      <c r="W17" s="262">
        <v>11195</v>
      </c>
      <c r="X17" s="262">
        <v>11253</v>
      </c>
      <c r="Y17" s="262">
        <v>20480</v>
      </c>
      <c r="Z17" s="262">
        <v>20542</v>
      </c>
      <c r="AA17" s="262">
        <v>20601</v>
      </c>
      <c r="AB17" s="221">
        <v>20641</v>
      </c>
      <c r="AC17" s="221">
        <v>20697</v>
      </c>
      <c r="AD17" s="221">
        <v>20777</v>
      </c>
      <c r="AE17" s="221">
        <v>20943</v>
      </c>
      <c r="AF17" s="221">
        <v>21181</v>
      </c>
      <c r="AG17" s="221">
        <v>21572</v>
      </c>
      <c r="AH17" s="230">
        <v>21603</v>
      </c>
      <c r="AI17" s="230">
        <v>21670</v>
      </c>
      <c r="AJ17" s="230">
        <v>22233</v>
      </c>
      <c r="AK17" s="230">
        <v>22357</v>
      </c>
      <c r="AL17" s="230">
        <v>22456</v>
      </c>
      <c r="AM17" s="230">
        <v>22642</v>
      </c>
      <c r="AN17" s="229">
        <v>22936</v>
      </c>
      <c r="AO17" s="191">
        <v>23079</v>
      </c>
      <c r="AP17" s="191">
        <v>22945</v>
      </c>
      <c r="AQ17" s="191">
        <v>22924</v>
      </c>
      <c r="AR17" s="191">
        <v>23037</v>
      </c>
      <c r="AS17" s="191">
        <v>23239</v>
      </c>
      <c r="AT17" s="191">
        <v>23533</v>
      </c>
      <c r="AU17" s="191">
        <v>24981</v>
      </c>
      <c r="AV17" s="191">
        <v>25094</v>
      </c>
      <c r="AW17" s="191">
        <v>28926</v>
      </c>
      <c r="AX17" s="191">
        <v>29100</v>
      </c>
      <c r="AY17" s="191">
        <v>29064</v>
      </c>
      <c r="AZ17" s="176">
        <v>29296</v>
      </c>
      <c r="BA17" s="191">
        <v>29780</v>
      </c>
      <c r="BB17" s="191">
        <v>30093</v>
      </c>
      <c r="BC17" s="191">
        <v>30391</v>
      </c>
      <c r="BD17" s="191">
        <v>7384</v>
      </c>
      <c r="BE17" s="176">
        <v>7518</v>
      </c>
      <c r="BF17" s="37">
        <v>7551</v>
      </c>
      <c r="BG17" s="37">
        <v>7576</v>
      </c>
      <c r="BH17" s="37">
        <v>7626</v>
      </c>
      <c r="BI17" s="37">
        <v>7629</v>
      </c>
      <c r="BJ17" s="37">
        <v>7708</v>
      </c>
      <c r="BK17" s="37">
        <v>7143</v>
      </c>
      <c r="BL17" s="37">
        <v>447</v>
      </c>
      <c r="BM17" s="37">
        <v>331</v>
      </c>
      <c r="BN17" s="37">
        <v>156</v>
      </c>
      <c r="BO17" s="37">
        <v>83</v>
      </c>
      <c r="BP17" s="74"/>
      <c r="BQ17" s="147"/>
      <c r="BR17" s="147"/>
      <c r="BS17" s="74"/>
      <c r="BT17" s="73"/>
      <c r="BU17" s="73"/>
      <c r="BV17" s="73"/>
      <c r="BW17" s="73"/>
      <c r="BX17" s="73"/>
      <c r="BY17" s="73"/>
      <c r="BZ17" s="145"/>
      <c r="CA17" s="145"/>
    </row>
    <row r="18" spans="1:79" ht="15" customHeight="1">
      <c r="A18" s="27" t="s">
        <v>215</v>
      </c>
      <c r="B18" s="27" t="s">
        <v>135</v>
      </c>
      <c r="C18" s="124" t="str">
        <f t="shared" si="1"/>
        <v>Investeringsejendomme</v>
      </c>
      <c r="D18" s="262">
        <v>2644</v>
      </c>
      <c r="E18" s="262">
        <v>3074</v>
      </c>
      <c r="F18" s="262">
        <v>3068</v>
      </c>
      <c r="G18" s="262">
        <v>3050</v>
      </c>
      <c r="H18" s="262">
        <v>3167</v>
      </c>
      <c r="I18" s="262">
        <v>3266</v>
      </c>
      <c r="J18" s="262">
        <v>3314</v>
      </c>
      <c r="K18" s="262">
        <v>3321</v>
      </c>
      <c r="L18" s="262">
        <v>4461</v>
      </c>
      <c r="M18" s="262">
        <v>4901</v>
      </c>
      <c r="N18" s="262">
        <v>4947</v>
      </c>
      <c r="O18" s="262">
        <v>4951</v>
      </c>
      <c r="P18" s="262">
        <v>4937</v>
      </c>
      <c r="Q18" s="262">
        <v>4845</v>
      </c>
      <c r="R18" s="262">
        <v>4730</v>
      </c>
      <c r="S18" s="262">
        <v>4749</v>
      </c>
      <c r="T18" s="262">
        <v>4681</v>
      </c>
      <c r="U18" s="262">
        <v>3551</v>
      </c>
      <c r="V18" s="262">
        <v>3541</v>
      </c>
      <c r="W18" s="262">
        <v>3462</v>
      </c>
      <c r="X18" s="262">
        <v>3536</v>
      </c>
      <c r="Y18" s="262">
        <v>3170</v>
      </c>
      <c r="Z18" s="262">
        <v>3257</v>
      </c>
      <c r="AA18" s="262">
        <v>3213</v>
      </c>
      <c r="AB18" s="221">
        <v>3200</v>
      </c>
      <c r="AC18" s="221">
        <v>4051</v>
      </c>
      <c r="AD18" s="221">
        <v>4118</v>
      </c>
      <c r="AE18" s="221">
        <v>4126</v>
      </c>
      <c r="AF18" s="221">
        <v>4131</v>
      </c>
      <c r="AG18" s="221">
        <v>4237</v>
      </c>
      <c r="AH18" s="230">
        <v>4256</v>
      </c>
      <c r="AI18" s="230">
        <v>4612</v>
      </c>
      <c r="AJ18" s="230">
        <v>4624</v>
      </c>
      <c r="AK18" s="230">
        <v>4622</v>
      </c>
      <c r="AL18" s="230">
        <v>4797</v>
      </c>
      <c r="AM18" s="230">
        <v>4894</v>
      </c>
      <c r="AN18" s="229">
        <v>4799</v>
      </c>
      <c r="AO18" s="191">
        <v>5170</v>
      </c>
      <c r="AP18" s="191">
        <v>5216</v>
      </c>
      <c r="AQ18" s="191">
        <v>5174</v>
      </c>
      <c r="AR18" s="191">
        <v>4948</v>
      </c>
      <c r="AS18" s="191">
        <v>4701</v>
      </c>
      <c r="AT18" s="191">
        <v>4574</v>
      </c>
      <c r="AU18" s="191">
        <v>4540</v>
      </c>
      <c r="AV18" s="191">
        <v>4470</v>
      </c>
      <c r="AW18" s="191">
        <v>4525</v>
      </c>
      <c r="AX18" s="191">
        <v>4566</v>
      </c>
      <c r="AY18" s="191">
        <v>5360</v>
      </c>
      <c r="AZ18" s="176">
        <v>4904</v>
      </c>
      <c r="BA18" s="191">
        <v>3863</v>
      </c>
      <c r="BB18" s="191">
        <v>3957</v>
      </c>
      <c r="BC18" s="191">
        <v>3831</v>
      </c>
      <c r="BD18" s="191">
        <v>3914</v>
      </c>
      <c r="BE18" s="176">
        <v>3818</v>
      </c>
      <c r="BF18" s="37">
        <v>3679</v>
      </c>
      <c r="BG18" s="37">
        <v>3580</v>
      </c>
      <c r="BH18" s="37">
        <v>3626</v>
      </c>
      <c r="BI18" s="37">
        <v>3853</v>
      </c>
      <c r="BJ18" s="37">
        <v>3832</v>
      </c>
      <c r="BK18" s="37">
        <v>4428</v>
      </c>
      <c r="BL18" s="37">
        <v>4463</v>
      </c>
      <c r="BM18" s="37">
        <v>4629</v>
      </c>
      <c r="BN18" s="37">
        <v>4638</v>
      </c>
      <c r="BO18" s="37">
        <v>4734</v>
      </c>
      <c r="BP18" s="74"/>
      <c r="BQ18" s="147"/>
      <c r="BR18" s="147"/>
      <c r="BS18" s="74"/>
      <c r="BT18" s="73"/>
      <c r="BU18" s="73"/>
      <c r="BV18" s="73"/>
      <c r="BW18" s="73"/>
      <c r="BX18" s="73"/>
      <c r="BY18" s="73"/>
      <c r="BZ18" s="145"/>
      <c r="CA18" s="145"/>
    </row>
    <row r="19" spans="1:79" ht="15" customHeight="1">
      <c r="A19" s="27" t="s">
        <v>167</v>
      </c>
      <c r="B19" s="27" t="s">
        <v>263</v>
      </c>
      <c r="C19" s="124" t="str">
        <f t="shared" si="1"/>
        <v>Materielle aktiver</v>
      </c>
      <c r="D19" s="262">
        <v>14069</v>
      </c>
      <c r="E19" s="262">
        <v>13905</v>
      </c>
      <c r="F19" s="262">
        <v>13959</v>
      </c>
      <c r="G19" s="262">
        <v>13863</v>
      </c>
      <c r="H19" s="262">
        <v>7768</v>
      </c>
      <c r="I19" s="262">
        <v>7511</v>
      </c>
      <c r="J19" s="262">
        <v>7378</v>
      </c>
      <c r="K19" s="262">
        <v>7146</v>
      </c>
      <c r="L19" s="262">
        <v>7047</v>
      </c>
      <c r="M19" s="262">
        <v>6883</v>
      </c>
      <c r="N19" s="262">
        <v>6552</v>
      </c>
      <c r="O19" s="262">
        <v>6024</v>
      </c>
      <c r="P19" s="262">
        <v>5849</v>
      </c>
      <c r="Q19" s="262">
        <v>5619</v>
      </c>
      <c r="R19" s="262">
        <v>5475</v>
      </c>
      <c r="S19" s="262">
        <v>5271</v>
      </c>
      <c r="T19" s="262">
        <v>5076</v>
      </c>
      <c r="U19" s="262">
        <v>7095</v>
      </c>
      <c r="V19" s="262">
        <v>6987</v>
      </c>
      <c r="W19" s="262">
        <v>6843</v>
      </c>
      <c r="X19" s="262">
        <v>6609</v>
      </c>
      <c r="Y19" s="262">
        <v>6222</v>
      </c>
      <c r="Z19" s="262">
        <v>6190</v>
      </c>
      <c r="AA19" s="262">
        <v>6129</v>
      </c>
      <c r="AB19" s="221">
        <v>6106</v>
      </c>
      <c r="AC19" s="221">
        <v>6358</v>
      </c>
      <c r="AD19" s="221">
        <v>6347</v>
      </c>
      <c r="AE19" s="221">
        <v>6511</v>
      </c>
      <c r="AF19" s="221">
        <v>6544</v>
      </c>
      <c r="AG19" s="221">
        <v>6525</v>
      </c>
      <c r="AH19" s="230">
        <v>6756</v>
      </c>
      <c r="AI19" s="230">
        <v>7012</v>
      </c>
      <c r="AJ19" s="230">
        <v>7267</v>
      </c>
      <c r="AK19" s="230">
        <v>7064</v>
      </c>
      <c r="AL19" s="230">
        <v>7313</v>
      </c>
      <c r="AM19" s="230">
        <v>7656</v>
      </c>
      <c r="AN19" s="229">
        <v>7861</v>
      </c>
      <c r="AO19" s="221">
        <v>8103</v>
      </c>
      <c r="AP19" s="191">
        <v>8364</v>
      </c>
      <c r="AQ19" s="191">
        <v>8456</v>
      </c>
      <c r="AR19" s="191">
        <v>8800</v>
      </c>
      <c r="AS19" s="191">
        <v>8865</v>
      </c>
      <c r="AT19" s="191">
        <v>9031</v>
      </c>
      <c r="AU19" s="191">
        <v>9045</v>
      </c>
      <c r="AV19" s="191">
        <v>9061</v>
      </c>
      <c r="AW19" s="191">
        <v>9178</v>
      </c>
      <c r="AX19" s="191">
        <v>9080</v>
      </c>
      <c r="AY19" s="191">
        <v>9001</v>
      </c>
      <c r="AZ19" s="176">
        <v>9312</v>
      </c>
      <c r="BA19" s="191">
        <v>8638</v>
      </c>
      <c r="BB19" s="191">
        <v>8643</v>
      </c>
      <c r="BC19" s="191">
        <v>8658</v>
      </c>
      <c r="BD19" s="191">
        <v>7854</v>
      </c>
      <c r="BE19" s="176">
        <v>7459</v>
      </c>
      <c r="BF19" s="37">
        <v>7468</v>
      </c>
      <c r="BG19" s="37">
        <v>7314</v>
      </c>
      <c r="BH19" s="37">
        <v>7248</v>
      </c>
      <c r="BI19" s="37">
        <v>7239</v>
      </c>
      <c r="BJ19" s="37">
        <v>7158</v>
      </c>
      <c r="BK19" s="37">
        <v>7567</v>
      </c>
      <c r="BL19" s="37">
        <v>6468</v>
      </c>
      <c r="BM19" s="37">
        <v>6522</v>
      </c>
      <c r="BN19" s="37">
        <v>6528</v>
      </c>
      <c r="BO19" s="37">
        <v>6545</v>
      </c>
      <c r="BP19" s="74"/>
      <c r="BQ19" s="147"/>
      <c r="BR19" s="147"/>
      <c r="BS19" s="74"/>
      <c r="BT19" s="73"/>
      <c r="BU19" s="73"/>
      <c r="BV19" s="73"/>
      <c r="BW19" s="73"/>
      <c r="BX19" s="73"/>
      <c r="BY19" s="73"/>
      <c r="BZ19" s="145"/>
      <c r="CA19" s="145"/>
    </row>
    <row r="20" spans="1:79" s="154" customFormat="1" ht="15" customHeight="1">
      <c r="A20" s="27" t="s">
        <v>19</v>
      </c>
      <c r="B20" s="27" t="s">
        <v>137</v>
      </c>
      <c r="C20" s="165" t="str">
        <f t="shared" si="1"/>
        <v>Øvrige aktiver</v>
      </c>
      <c r="D20" s="262">
        <f aca="true" t="shared" si="2" ref="D20:N20">+D21-SUM(D8:D19)</f>
        <v>24962</v>
      </c>
      <c r="E20" s="262">
        <f t="shared" si="2"/>
        <v>30557</v>
      </c>
      <c r="F20" s="262">
        <f t="shared" si="2"/>
        <v>28666</v>
      </c>
      <c r="G20" s="262">
        <f t="shared" si="2"/>
        <v>92425</v>
      </c>
      <c r="H20" s="262">
        <f t="shared" si="2"/>
        <v>82151</v>
      </c>
      <c r="I20" s="262">
        <f t="shared" si="2"/>
        <v>25398</v>
      </c>
      <c r="J20" s="262">
        <f t="shared" si="2"/>
        <v>25811</v>
      </c>
      <c r="K20" s="262">
        <f t="shared" si="2"/>
        <v>27260</v>
      </c>
      <c r="L20" s="262">
        <f t="shared" si="2"/>
        <v>20778</v>
      </c>
      <c r="M20" s="262">
        <f t="shared" si="2"/>
        <v>21357</v>
      </c>
      <c r="N20" s="262">
        <f t="shared" si="2"/>
        <v>21236</v>
      </c>
      <c r="O20" s="262">
        <f aca="true" t="shared" si="3" ref="O20:Z20">+O21-SUM(O8:O19)</f>
        <v>22075</v>
      </c>
      <c r="P20" s="262">
        <f t="shared" si="3"/>
        <v>20919</v>
      </c>
      <c r="Q20" s="262">
        <f t="shared" si="3"/>
        <v>25123</v>
      </c>
      <c r="R20" s="262">
        <f t="shared" si="3"/>
        <v>25397</v>
      </c>
      <c r="S20" s="262">
        <f t="shared" si="3"/>
        <v>31485</v>
      </c>
      <c r="T20" s="262">
        <f t="shared" si="3"/>
        <v>26006</v>
      </c>
      <c r="U20" s="262">
        <f t="shared" si="3"/>
        <v>28121</v>
      </c>
      <c r="V20" s="262">
        <f t="shared" si="3"/>
        <v>25504</v>
      </c>
      <c r="W20" s="262">
        <f t="shared" si="3"/>
        <v>31968</v>
      </c>
      <c r="X20" s="262">
        <f t="shared" si="3"/>
        <v>27047</v>
      </c>
      <c r="Y20" s="262">
        <f t="shared" si="3"/>
        <v>22213</v>
      </c>
      <c r="Z20" s="262">
        <f t="shared" si="3"/>
        <v>21236</v>
      </c>
      <c r="AA20" s="262">
        <f>500+942+21598</f>
        <v>23040</v>
      </c>
      <c r="AB20" s="221">
        <f>432+924+23582</f>
        <v>24938</v>
      </c>
      <c r="AC20" s="221">
        <f>356+1217+20413</f>
        <v>21986</v>
      </c>
      <c r="AD20" s="221">
        <f>274+1300+20182</f>
        <v>21756</v>
      </c>
      <c r="AE20" s="221">
        <f>195+1283+23151</f>
        <v>24629</v>
      </c>
      <c r="AF20" s="221">
        <f>147+1418+25300</f>
        <v>26865</v>
      </c>
      <c r="AG20" s="221">
        <f>291+1793+17923</f>
        <v>20007</v>
      </c>
      <c r="AH20" s="230">
        <f>355+1891+17597</f>
        <v>19843</v>
      </c>
      <c r="AI20" s="230">
        <f>395+1844+18350</f>
        <v>20589</v>
      </c>
      <c r="AJ20" s="230">
        <f>580+1791+18634</f>
        <v>21005</v>
      </c>
      <c r="AK20" s="230">
        <f>1379+1774+24703</f>
        <v>27856</v>
      </c>
      <c r="AL20" s="230">
        <v>20899</v>
      </c>
      <c r="AM20" s="230">
        <v>27941</v>
      </c>
      <c r="AN20" s="229">
        <v>27539</v>
      </c>
      <c r="AO20" s="222">
        <v>30030</v>
      </c>
      <c r="AP20" s="191">
        <v>29902</v>
      </c>
      <c r="AQ20" s="191">
        <v>25656</v>
      </c>
      <c r="AR20" s="191">
        <v>27037</v>
      </c>
      <c r="AS20" s="191">
        <v>27627</v>
      </c>
      <c r="AT20" s="191">
        <v>29691</v>
      </c>
      <c r="AU20" s="191">
        <v>31311</v>
      </c>
      <c r="AV20" s="191">
        <v>35439</v>
      </c>
      <c r="AW20" s="191">
        <v>32441</v>
      </c>
      <c r="AX20" s="191">
        <v>34029</v>
      </c>
      <c r="AY20" s="191">
        <v>37189</v>
      </c>
      <c r="AZ20" s="176">
        <v>36079</v>
      </c>
      <c r="BA20" s="191">
        <v>27706</v>
      </c>
      <c r="BB20" s="191">
        <v>27124</v>
      </c>
      <c r="BC20" s="191">
        <v>25258</v>
      </c>
      <c r="BD20" s="191">
        <f>21753+1796</f>
        <v>23549</v>
      </c>
      <c r="BE20" s="176">
        <f>21132+100+339</f>
        <v>21571</v>
      </c>
      <c r="BF20" s="37">
        <f>19027+363+198</f>
        <v>19588</v>
      </c>
      <c r="BG20" s="37">
        <v>24982</v>
      </c>
      <c r="BH20" s="37">
        <v>27699</v>
      </c>
      <c r="BI20" s="37">
        <v>28897</v>
      </c>
      <c r="BJ20" s="37">
        <v>24588</v>
      </c>
      <c r="BK20" s="37">
        <v>20711</v>
      </c>
      <c r="BL20" s="37">
        <v>15260</v>
      </c>
      <c r="BM20" s="37">
        <v>14348</v>
      </c>
      <c r="BN20" s="37">
        <v>12299</v>
      </c>
      <c r="BO20" s="37">
        <v>11521</v>
      </c>
      <c r="BP20" s="150"/>
      <c r="BQ20" s="151"/>
      <c r="BR20" s="151"/>
      <c r="BS20" s="150"/>
      <c r="BT20" s="152"/>
      <c r="BU20" s="152"/>
      <c r="BV20" s="152"/>
      <c r="BW20" s="152"/>
      <c r="BX20" s="152"/>
      <c r="BY20" s="152"/>
      <c r="BZ20" s="153"/>
      <c r="CA20" s="153"/>
    </row>
    <row r="21" spans="1:103" s="32" customFormat="1" ht="15" customHeight="1">
      <c r="A21" s="39" t="s">
        <v>20</v>
      </c>
      <c r="B21" s="25" t="s">
        <v>2</v>
      </c>
      <c r="C21" s="273" t="str">
        <f t="shared" si="1"/>
        <v>Aktiver i alt</v>
      </c>
      <c r="D21" s="263">
        <v>3761050</v>
      </c>
      <c r="E21" s="263">
        <v>3962718</v>
      </c>
      <c r="F21" s="263">
        <v>3778409</v>
      </c>
      <c r="G21" s="263">
        <v>3714914</v>
      </c>
      <c r="H21" s="263">
        <v>3578467</v>
      </c>
      <c r="I21" s="263">
        <v>3673028</v>
      </c>
      <c r="J21" s="263">
        <v>3706419</v>
      </c>
      <c r="K21" s="263">
        <v>3538555</v>
      </c>
      <c r="L21" s="263">
        <v>3539528</v>
      </c>
      <c r="M21" s="263">
        <v>3547785</v>
      </c>
      <c r="N21" s="263">
        <v>3572717</v>
      </c>
      <c r="O21" s="263">
        <v>3543540</v>
      </c>
      <c r="P21" s="263">
        <v>3483670</v>
      </c>
      <c r="Q21" s="263">
        <v>3548569</v>
      </c>
      <c r="R21" s="263">
        <v>3483327</v>
      </c>
      <c r="S21" s="263">
        <v>3388518</v>
      </c>
      <c r="T21" s="263">
        <v>3292878</v>
      </c>
      <c r="U21" s="263">
        <v>3348051</v>
      </c>
      <c r="V21" s="263">
        <v>3452213</v>
      </c>
      <c r="W21" s="263">
        <v>3671158</v>
      </c>
      <c r="X21" s="263">
        <v>3453015</v>
      </c>
      <c r="Y21" s="263">
        <v>3437294</v>
      </c>
      <c r="Z21" s="263">
        <v>3273485</v>
      </c>
      <c r="AA21" s="263">
        <f>SUM(AA8:AA20)</f>
        <v>3314218</v>
      </c>
      <c r="AB21" s="223">
        <f>SUM(AB8:AB20)</f>
        <v>3227057</v>
      </c>
      <c r="AC21" s="223">
        <f>SUM(AC8:AC20)</f>
        <v>3268230</v>
      </c>
      <c r="AD21" s="223">
        <f>SUM(AD8:AD20)</f>
        <v>3317104</v>
      </c>
      <c r="AE21" s="223">
        <f>SUM(AE8:AE20)</f>
        <v>3500998</v>
      </c>
      <c r="AF21" s="223">
        <f aca="true" t="shared" si="4" ref="AF21:AN21">SUM(AF8:AF20)</f>
        <v>3484949</v>
      </c>
      <c r="AG21" s="223">
        <f t="shared" si="4"/>
        <v>3598106</v>
      </c>
      <c r="AH21" s="238">
        <f t="shared" si="4"/>
        <v>3480348</v>
      </c>
      <c r="AI21" s="238">
        <f t="shared" si="4"/>
        <v>3501418</v>
      </c>
      <c r="AJ21" s="238">
        <f t="shared" si="4"/>
        <v>3424403</v>
      </c>
      <c r="AK21" s="238">
        <f t="shared" si="4"/>
        <v>3381024</v>
      </c>
      <c r="AL21" s="238">
        <f t="shared" si="4"/>
        <v>3127061</v>
      </c>
      <c r="AM21" s="238">
        <f t="shared" si="4"/>
        <v>3125881</v>
      </c>
      <c r="AN21" s="234">
        <f t="shared" si="4"/>
        <v>3213886</v>
      </c>
      <c r="AO21" s="223">
        <v>3361116</v>
      </c>
      <c r="AP21" s="185">
        <v>3363983</v>
      </c>
      <c r="AQ21" s="185">
        <v>3208511</v>
      </c>
      <c r="AR21" s="185">
        <v>3098477</v>
      </c>
      <c r="AS21" s="185">
        <v>3298302</v>
      </c>
      <c r="AT21" s="185">
        <v>3239551</v>
      </c>
      <c r="AU21" s="185">
        <f>SUM(AU8:AU20)</f>
        <v>3343633</v>
      </c>
      <c r="AV21" s="185">
        <f>SUM(AV8:AV20)</f>
        <v>3543974</v>
      </c>
      <c r="AW21" s="185">
        <f>SUM(AW8:AW20)</f>
        <v>3515851</v>
      </c>
      <c r="AX21" s="185">
        <v>3491775</v>
      </c>
      <c r="AY21" s="185">
        <v>3443405</v>
      </c>
      <c r="AZ21" s="180">
        <v>3349530</v>
      </c>
      <c r="BA21" s="185">
        <v>3194762</v>
      </c>
      <c r="BB21" s="185">
        <v>3071854</v>
      </c>
      <c r="BC21" s="185">
        <v>2951147</v>
      </c>
      <c r="BD21" s="185">
        <v>2739361</v>
      </c>
      <c r="BE21" s="185">
        <f>SUM(BE8:BE20)</f>
        <v>2653070</v>
      </c>
      <c r="BF21" s="185">
        <f aca="true" t="shared" si="5" ref="BF21:BO21">SUM(BF8:BF20)</f>
        <v>2512528</v>
      </c>
      <c r="BG21" s="185">
        <f t="shared" si="5"/>
        <v>2391708</v>
      </c>
      <c r="BH21" s="185">
        <f t="shared" si="5"/>
        <v>2431988</v>
      </c>
      <c r="BI21" s="185">
        <f t="shared" si="5"/>
        <v>2398890</v>
      </c>
      <c r="BJ21" s="185">
        <f t="shared" si="5"/>
        <v>2433286</v>
      </c>
      <c r="BK21" s="185">
        <f t="shared" si="5"/>
        <v>2271155</v>
      </c>
      <c r="BL21" s="185">
        <f t="shared" si="5"/>
        <v>2052507</v>
      </c>
      <c r="BM21" s="185">
        <f t="shared" si="5"/>
        <v>1987070</v>
      </c>
      <c r="BN21" s="185">
        <f t="shared" si="5"/>
        <v>1887839</v>
      </c>
      <c r="BO21" s="185">
        <f t="shared" si="5"/>
        <v>1917329</v>
      </c>
      <c r="BP21" s="74"/>
      <c r="BQ21" s="147"/>
      <c r="BR21" s="147"/>
      <c r="BS21" s="74"/>
      <c r="BT21" s="73"/>
      <c r="BU21" s="73"/>
      <c r="BV21" s="73"/>
      <c r="BW21" s="73"/>
      <c r="BX21" s="73"/>
      <c r="BY21" s="73"/>
      <c r="BZ21" s="145"/>
      <c r="CA21" s="145"/>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row>
    <row r="22" spans="4:79" ht="15" customHeight="1">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48"/>
      <c r="AC22" s="248"/>
      <c r="AD22" s="248"/>
      <c r="AE22" s="248"/>
      <c r="AO22" s="224"/>
      <c r="AP22" s="73"/>
      <c r="AQ22" s="73"/>
      <c r="AR22" s="145"/>
      <c r="AS22" s="145"/>
      <c r="AT22" s="145"/>
      <c r="AU22" s="145"/>
      <c r="AV22" s="145"/>
      <c r="AW22" s="145"/>
      <c r="AX22" s="145"/>
      <c r="AY22" s="145"/>
      <c r="AZ22" s="145"/>
      <c r="BA22" s="74"/>
      <c r="BB22" s="74"/>
      <c r="BC22" s="74"/>
      <c r="BD22" s="74"/>
      <c r="BE22" s="74"/>
      <c r="BF22" s="74"/>
      <c r="BG22" s="74"/>
      <c r="BH22" s="74"/>
      <c r="BI22" s="74"/>
      <c r="BJ22" s="74"/>
      <c r="BK22" s="74"/>
      <c r="BL22" s="74"/>
      <c r="BM22" s="74"/>
      <c r="BN22" s="74"/>
      <c r="BO22" s="74"/>
      <c r="BP22" s="74"/>
      <c r="BQ22" s="74"/>
      <c r="BR22" s="74"/>
      <c r="BS22" s="74"/>
      <c r="BT22" s="73"/>
      <c r="BU22" s="73"/>
      <c r="BV22" s="73"/>
      <c r="BW22" s="73"/>
      <c r="BX22" s="73"/>
      <c r="BY22" s="73"/>
      <c r="BZ22" s="145"/>
      <c r="CA22" s="145"/>
    </row>
    <row r="23" spans="1:79" ht="15" customHeight="1">
      <c r="A23" s="29" t="s">
        <v>21</v>
      </c>
      <c r="B23" s="132" t="s">
        <v>210</v>
      </c>
      <c r="C23" s="142" t="str">
        <f aca="true" t="shared" si="6" ref="C23:C44">IF($B$1=1,B23,A23)</f>
        <v>Forpligtelser</v>
      </c>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142"/>
      <c r="AC23" s="142"/>
      <c r="AD23" s="142"/>
      <c r="AE23" s="142"/>
      <c r="AF23" s="142"/>
      <c r="AG23" s="221"/>
      <c r="AH23" s="142"/>
      <c r="AI23" s="142"/>
      <c r="AJ23" s="142"/>
      <c r="AK23" s="142"/>
      <c r="AL23" s="216"/>
      <c r="AM23" s="216"/>
      <c r="AN23" s="216"/>
      <c r="AO23" s="191"/>
      <c r="AP23" s="194"/>
      <c r="AQ23" s="194"/>
      <c r="AR23" s="194"/>
      <c r="AS23" s="194"/>
      <c r="AT23" s="194"/>
      <c r="AU23" s="194"/>
      <c r="AV23" s="194"/>
      <c r="AW23" s="194"/>
      <c r="AX23" s="194"/>
      <c r="AY23" s="194"/>
      <c r="AZ23" s="194"/>
      <c r="BA23" s="194"/>
      <c r="BB23" s="194"/>
      <c r="BC23" s="194"/>
      <c r="BD23" s="194"/>
      <c r="BE23" s="179"/>
      <c r="BF23" s="157"/>
      <c r="BG23" s="157"/>
      <c r="BH23" s="157"/>
      <c r="BI23" s="157"/>
      <c r="BJ23" s="157"/>
      <c r="BK23" s="157"/>
      <c r="BL23" s="157"/>
      <c r="BM23" s="157"/>
      <c r="BN23" s="157"/>
      <c r="BO23" s="37"/>
      <c r="BP23" s="74"/>
      <c r="BQ23" s="74"/>
      <c r="BR23" s="74"/>
      <c r="BS23" s="74"/>
      <c r="BT23" s="73"/>
      <c r="BU23" s="73"/>
      <c r="BV23" s="73"/>
      <c r="BW23" s="73"/>
      <c r="BX23" s="73"/>
      <c r="BY23" s="73"/>
      <c r="BZ23" s="145"/>
      <c r="CA23" s="145"/>
    </row>
    <row r="24" spans="1:79" ht="15" customHeight="1">
      <c r="A24" s="158" t="s">
        <v>164</v>
      </c>
      <c r="B24" s="159" t="s">
        <v>139</v>
      </c>
      <c r="C24" s="124" t="str">
        <f t="shared" si="6"/>
        <v>Gæld til kreditinstitutter og centralbanker</v>
      </c>
      <c r="D24" s="262">
        <v>155246</v>
      </c>
      <c r="E24" s="262">
        <v>218324</v>
      </c>
      <c r="F24" s="262">
        <v>222229</v>
      </c>
      <c r="G24" s="262">
        <v>226145</v>
      </c>
      <c r="H24" s="262">
        <v>248601</v>
      </c>
      <c r="I24" s="262">
        <v>265816</v>
      </c>
      <c r="J24" s="262">
        <v>264598</v>
      </c>
      <c r="K24" s="262">
        <v>250140</v>
      </c>
      <c r="L24" s="262">
        <v>242887</v>
      </c>
      <c r="M24" s="262">
        <v>256238</v>
      </c>
      <c r="N24" s="262">
        <v>256566</v>
      </c>
      <c r="O24" s="262">
        <v>248298</v>
      </c>
      <c r="P24" s="262">
        <v>272883</v>
      </c>
      <c r="Q24" s="262">
        <v>333440</v>
      </c>
      <c r="R24" s="262">
        <v>289363</v>
      </c>
      <c r="S24" s="262">
        <v>306201</v>
      </c>
      <c r="T24" s="262">
        <v>271588</v>
      </c>
      <c r="U24" s="262">
        <v>283559</v>
      </c>
      <c r="V24" s="262">
        <v>312871</v>
      </c>
      <c r="W24" s="262">
        <v>366613</v>
      </c>
      <c r="X24" s="262">
        <v>329048</v>
      </c>
      <c r="Y24" s="262">
        <v>324611</v>
      </c>
      <c r="Z24" s="262">
        <v>289065</v>
      </c>
      <c r="AA24" s="262">
        <v>333387</v>
      </c>
      <c r="AB24" s="221">
        <v>312597</v>
      </c>
      <c r="AC24" s="221">
        <v>416452</v>
      </c>
      <c r="AD24" s="221">
        <v>415999</v>
      </c>
      <c r="AE24" s="221">
        <v>485512</v>
      </c>
      <c r="AF24" s="221">
        <v>459932</v>
      </c>
      <c r="AG24" s="221">
        <v>518983</v>
      </c>
      <c r="AH24" s="230">
        <v>515557</v>
      </c>
      <c r="AI24" s="230">
        <v>488324</v>
      </c>
      <c r="AJ24" s="230">
        <v>393388</v>
      </c>
      <c r="AK24" s="230">
        <v>373622</v>
      </c>
      <c r="AL24" s="230">
        <v>317167</v>
      </c>
      <c r="AM24" s="230">
        <v>309688</v>
      </c>
      <c r="AN24" s="229">
        <v>317988</v>
      </c>
      <c r="AO24" s="191">
        <v>314513</v>
      </c>
      <c r="AP24" s="191">
        <v>313735</v>
      </c>
      <c r="AQ24" s="191">
        <v>330232</v>
      </c>
      <c r="AR24" s="191">
        <v>311169</v>
      </c>
      <c r="AS24" s="191">
        <v>368306</v>
      </c>
      <c r="AT24" s="191">
        <v>381810</v>
      </c>
      <c r="AU24" s="191">
        <v>451125</v>
      </c>
      <c r="AV24" s="191">
        <v>562726</v>
      </c>
      <c r="AW24" s="191">
        <v>744068</v>
      </c>
      <c r="AX24" s="191">
        <v>648939</v>
      </c>
      <c r="AY24" s="191">
        <v>597007</v>
      </c>
      <c r="AZ24" s="191">
        <v>677355</v>
      </c>
      <c r="BA24" s="191">
        <v>529209</v>
      </c>
      <c r="BB24" s="191">
        <v>517013</v>
      </c>
      <c r="BC24" s="191">
        <v>539104</v>
      </c>
      <c r="BD24" s="191">
        <v>564549</v>
      </c>
      <c r="BE24" s="176">
        <v>545937</v>
      </c>
      <c r="BF24" s="37">
        <v>470457</v>
      </c>
      <c r="BG24" s="37">
        <v>422092</v>
      </c>
      <c r="BH24" s="37">
        <v>476363</v>
      </c>
      <c r="BI24" s="37">
        <v>485209</v>
      </c>
      <c r="BJ24" s="37">
        <v>511431</v>
      </c>
      <c r="BK24" s="37">
        <v>457525</v>
      </c>
      <c r="BL24" s="37">
        <v>353369</v>
      </c>
      <c r="BM24" s="37">
        <v>392959</v>
      </c>
      <c r="BN24" s="37">
        <v>331501</v>
      </c>
      <c r="BO24" s="37">
        <v>363883</v>
      </c>
      <c r="BP24" s="74"/>
      <c r="BQ24" s="74"/>
      <c r="BR24" s="74"/>
      <c r="BS24" s="74"/>
      <c r="BT24" s="73"/>
      <c r="BU24" s="73"/>
      <c r="BV24" s="73"/>
      <c r="BW24" s="73"/>
      <c r="BX24" s="73"/>
      <c r="BY24" s="73"/>
      <c r="BZ24" s="145"/>
      <c r="CA24" s="145"/>
    </row>
    <row r="25" spans="1:79" ht="15" customHeight="1">
      <c r="A25" s="158" t="s">
        <v>131</v>
      </c>
      <c r="B25" s="159" t="s">
        <v>205</v>
      </c>
      <c r="C25" s="124" t="str">
        <f>IF($B$1=1,B25,A25)</f>
        <v>Forpligtelser i handelsportefølje</v>
      </c>
      <c r="D25" s="262">
        <v>452202</v>
      </c>
      <c r="E25" s="262">
        <v>541809</v>
      </c>
      <c r="F25" s="262">
        <v>450973</v>
      </c>
      <c r="G25" s="262">
        <v>423359</v>
      </c>
      <c r="H25" s="262">
        <v>390226</v>
      </c>
      <c r="I25" s="262">
        <v>401703</v>
      </c>
      <c r="J25" s="262">
        <v>447012</v>
      </c>
      <c r="K25" s="262">
        <v>385635</v>
      </c>
      <c r="L25" s="262">
        <v>400596</v>
      </c>
      <c r="M25" s="262">
        <v>408537</v>
      </c>
      <c r="N25" s="262">
        <v>451663</v>
      </c>
      <c r="O25" s="262">
        <v>446325</v>
      </c>
      <c r="P25" s="262">
        <v>478301</v>
      </c>
      <c r="Q25" s="262">
        <v>479244</v>
      </c>
      <c r="R25" s="262">
        <v>487322</v>
      </c>
      <c r="S25" s="262">
        <v>493395</v>
      </c>
      <c r="T25" s="262">
        <v>471131</v>
      </c>
      <c r="U25" s="262">
        <v>445553</v>
      </c>
      <c r="V25" s="262">
        <v>485838</v>
      </c>
      <c r="W25" s="262">
        <v>609719</v>
      </c>
      <c r="X25" s="262">
        <v>550629</v>
      </c>
      <c r="Y25" s="262">
        <v>532982</v>
      </c>
      <c r="Z25" s="262">
        <v>407457</v>
      </c>
      <c r="AA25" s="262">
        <v>386249</v>
      </c>
      <c r="AB25" s="221">
        <v>435183</v>
      </c>
      <c r="AC25" s="221">
        <v>435111</v>
      </c>
      <c r="AD25" s="221">
        <v>455351</v>
      </c>
      <c r="AE25" s="221">
        <v>544406</v>
      </c>
      <c r="AF25" s="221">
        <v>531860</v>
      </c>
      <c r="AG25" s="221">
        <v>670039</v>
      </c>
      <c r="AH25" s="230">
        <v>628008</v>
      </c>
      <c r="AI25" s="230">
        <v>627332</v>
      </c>
      <c r="AJ25" s="230">
        <v>697913</v>
      </c>
      <c r="AK25" s="230">
        <v>677319</v>
      </c>
      <c r="AL25" s="230">
        <v>429391</v>
      </c>
      <c r="AM25" s="230">
        <v>447881</v>
      </c>
      <c r="AN25" s="229">
        <v>478386</v>
      </c>
      <c r="AO25" s="191">
        <v>658039</v>
      </c>
      <c r="AP25" s="191">
        <v>604512</v>
      </c>
      <c r="AQ25" s="191">
        <v>468012</v>
      </c>
      <c r="AR25" s="191">
        <v>380567</v>
      </c>
      <c r="AS25" s="191">
        <v>456675</v>
      </c>
      <c r="AT25" s="191">
        <v>430456</v>
      </c>
      <c r="AU25" s="191">
        <v>514475</v>
      </c>
      <c r="AV25" s="191">
        <v>623290</v>
      </c>
      <c r="AW25" s="191">
        <v>407304</v>
      </c>
      <c r="AX25" s="191">
        <v>427848</v>
      </c>
      <c r="AY25" s="191">
        <v>431795</v>
      </c>
      <c r="AZ25" s="191">
        <v>331547</v>
      </c>
      <c r="BA25" s="191">
        <v>342458</v>
      </c>
      <c r="BB25" s="191">
        <v>281413</v>
      </c>
      <c r="BC25" s="191">
        <v>271281</v>
      </c>
      <c r="BD25" s="191">
        <f>236524+888</f>
        <v>237412</v>
      </c>
      <c r="BE25" s="176">
        <v>229167</v>
      </c>
      <c r="BF25" s="37">
        <v>218920</v>
      </c>
      <c r="BG25" s="37">
        <v>204690</v>
      </c>
      <c r="BH25" s="37">
        <v>212042</v>
      </c>
      <c r="BI25" s="37">
        <v>243854</v>
      </c>
      <c r="BJ25" s="37">
        <v>262772</v>
      </c>
      <c r="BK25" s="37">
        <v>195414</v>
      </c>
      <c r="BL25" s="37">
        <v>215807</v>
      </c>
      <c r="BM25" s="37">
        <v>173797</v>
      </c>
      <c r="BN25" s="37">
        <v>115376</v>
      </c>
      <c r="BO25" s="37">
        <v>135126</v>
      </c>
      <c r="BP25" s="145"/>
      <c r="BQ25" s="145"/>
      <c r="BR25" s="145"/>
      <c r="BS25" s="145"/>
      <c r="BT25" s="145"/>
      <c r="BU25" s="145"/>
      <c r="BV25" s="145"/>
      <c r="BW25" s="145"/>
      <c r="BX25" s="145"/>
      <c r="BY25" s="145"/>
      <c r="BZ25" s="145"/>
      <c r="CA25" s="145"/>
    </row>
    <row r="26" spans="1:79" ht="15" customHeight="1">
      <c r="A26" s="158" t="s">
        <v>22</v>
      </c>
      <c r="B26" s="159" t="s">
        <v>3</v>
      </c>
      <c r="C26" s="124" t="str">
        <f t="shared" si="6"/>
        <v>Indlån</v>
      </c>
      <c r="D26" s="262">
        <v>1140726</v>
      </c>
      <c r="E26" s="262">
        <v>1109773</v>
      </c>
      <c r="F26" s="262">
        <v>1117275</v>
      </c>
      <c r="G26" s="262">
        <v>1084157</v>
      </c>
      <c r="H26" s="262">
        <v>1059119</v>
      </c>
      <c r="I26" s="262">
        <v>1068829</v>
      </c>
      <c r="J26" s="262">
        <v>1054547</v>
      </c>
      <c r="K26" s="262">
        <v>1085108</v>
      </c>
      <c r="L26" s="262">
        <v>1046858</v>
      </c>
      <c r="M26" s="262">
        <v>1051135</v>
      </c>
      <c r="N26" s="262">
        <v>1040938</v>
      </c>
      <c r="O26" s="262">
        <v>996055</v>
      </c>
      <c r="P26" s="262">
        <v>943865</v>
      </c>
      <c r="Q26" s="262">
        <v>957601</v>
      </c>
      <c r="R26" s="262">
        <v>952386</v>
      </c>
      <c r="S26" s="262">
        <v>888681</v>
      </c>
      <c r="T26" s="262">
        <v>863474</v>
      </c>
      <c r="U26" s="262">
        <v>958343</v>
      </c>
      <c r="V26" s="262">
        <v>984409</v>
      </c>
      <c r="W26" s="262">
        <v>1018038</v>
      </c>
      <c r="X26" s="262">
        <v>966197</v>
      </c>
      <c r="Y26" s="262">
        <v>985916</v>
      </c>
      <c r="Z26" s="262">
        <v>1023307</v>
      </c>
      <c r="AA26" s="262">
        <v>1041738</v>
      </c>
      <c r="AB26" s="221">
        <v>943901</v>
      </c>
      <c r="AC26" s="221">
        <v>901395</v>
      </c>
      <c r="AD26" s="221">
        <v>900358</v>
      </c>
      <c r="AE26" s="221">
        <v>899050</v>
      </c>
      <c r="AF26" s="221">
        <v>929092</v>
      </c>
      <c r="AG26" s="221">
        <v>858738</v>
      </c>
      <c r="AH26" s="230">
        <v>854162</v>
      </c>
      <c r="AI26" s="230">
        <v>854520</v>
      </c>
      <c r="AJ26" s="230">
        <v>848994</v>
      </c>
      <c r="AK26" s="230">
        <v>888638</v>
      </c>
      <c r="AL26" s="230">
        <v>891546</v>
      </c>
      <c r="AM26" s="230">
        <v>866362</v>
      </c>
      <c r="AN26" s="229">
        <v>861053</v>
      </c>
      <c r="AO26" s="191">
        <v>827771</v>
      </c>
      <c r="AP26" s="191">
        <v>808551</v>
      </c>
      <c r="AQ26" s="191">
        <v>820299</v>
      </c>
      <c r="AR26" s="191">
        <v>859580</v>
      </c>
      <c r="AS26" s="191">
        <v>845699</v>
      </c>
      <c r="AT26" s="191">
        <v>838903</v>
      </c>
      <c r="AU26" s="191">
        <v>843110</v>
      </c>
      <c r="AV26" s="191">
        <v>874690</v>
      </c>
      <c r="AW26" s="191">
        <v>909360</v>
      </c>
      <c r="AX26" s="191">
        <v>979367</v>
      </c>
      <c r="AY26" s="191">
        <v>1005134</v>
      </c>
      <c r="AZ26" s="191">
        <v>923995</v>
      </c>
      <c r="BA26" s="191">
        <f>114711+796808</f>
        <v>911519</v>
      </c>
      <c r="BB26" s="191">
        <f>125115+762356</f>
        <v>887471</v>
      </c>
      <c r="BC26" s="191">
        <f>102333+680007</f>
        <v>782340</v>
      </c>
      <c r="BD26" s="191">
        <v>702943</v>
      </c>
      <c r="BE26" s="176">
        <v>677603</v>
      </c>
      <c r="BF26" s="37">
        <v>688845</v>
      </c>
      <c r="BG26" s="37">
        <v>617987</v>
      </c>
      <c r="BH26" s="37">
        <v>631184</v>
      </c>
      <c r="BI26" s="37">
        <v>583732</v>
      </c>
      <c r="BJ26" s="37">
        <v>603476</v>
      </c>
      <c r="BK26" s="37">
        <v>569271</v>
      </c>
      <c r="BL26" s="37">
        <v>487863</v>
      </c>
      <c r="BM26" s="37">
        <v>474502</v>
      </c>
      <c r="BN26" s="37">
        <v>479162</v>
      </c>
      <c r="BO26" s="37">
        <v>468569</v>
      </c>
      <c r="BP26" s="74"/>
      <c r="BQ26" s="74"/>
      <c r="BR26" s="74"/>
      <c r="BS26" s="74"/>
      <c r="BT26" s="73"/>
      <c r="BU26" s="73"/>
      <c r="BV26" s="73"/>
      <c r="BW26" s="73"/>
      <c r="BX26" s="73"/>
      <c r="BY26" s="73"/>
      <c r="BZ26" s="145"/>
      <c r="CA26" s="145"/>
    </row>
    <row r="27" spans="1:79" ht="15" customHeight="1">
      <c r="A27" s="27" t="s">
        <v>321</v>
      </c>
      <c r="B27" s="25" t="s">
        <v>322</v>
      </c>
      <c r="C27" s="124" t="str">
        <f t="shared" si="6"/>
        <v>Udstedte obligationer til dagsværdi (mia. kr.)</v>
      </c>
      <c r="D27" s="262">
        <v>802501</v>
      </c>
      <c r="E27" s="262">
        <v>827259</v>
      </c>
      <c r="F27" s="262">
        <v>792352</v>
      </c>
      <c r="G27" s="262">
        <v>765284</v>
      </c>
      <c r="H27" s="262">
        <v>759588</v>
      </c>
      <c r="I27" s="262">
        <v>793349</v>
      </c>
      <c r="J27" s="262">
        <v>798589</v>
      </c>
      <c r="K27" s="262">
        <v>828415</v>
      </c>
      <c r="L27" s="262">
        <v>758375</v>
      </c>
      <c r="M27" s="262">
        <v>749414</v>
      </c>
      <c r="N27" s="262">
        <v>733172</v>
      </c>
      <c r="O27" s="262">
        <v>734250</v>
      </c>
      <c r="P27" s="262">
        <v>726732</v>
      </c>
      <c r="Q27" s="262">
        <v>715730</v>
      </c>
      <c r="R27" s="262">
        <v>706503</v>
      </c>
      <c r="S27" s="262">
        <v>682542</v>
      </c>
      <c r="T27" s="262">
        <v>694519</v>
      </c>
      <c r="U27" s="262">
        <v>687554</v>
      </c>
      <c r="V27" s="262">
        <v>691544</v>
      </c>
      <c r="W27" s="262">
        <v>678875</v>
      </c>
      <c r="X27" s="262">
        <v>655965</v>
      </c>
      <c r="Y27" s="262">
        <v>656022</v>
      </c>
      <c r="Z27" s="262">
        <v>648068</v>
      </c>
      <c r="AA27" s="262">
        <v>623956</v>
      </c>
      <c r="AB27" s="221">
        <v>614196</v>
      </c>
      <c r="AC27" s="221">
        <v>605817</v>
      </c>
      <c r="AD27" s="221">
        <v>616457</v>
      </c>
      <c r="AE27" s="221">
        <v>623133</v>
      </c>
      <c r="AF27" s="221">
        <v>614325</v>
      </c>
      <c r="AG27" s="221">
        <v>618513</v>
      </c>
      <c r="AH27" s="230">
        <v>596837</v>
      </c>
      <c r="AI27" s="230">
        <v>604323</v>
      </c>
      <c r="AJ27" s="230">
        <v>557699</v>
      </c>
      <c r="AK27" s="230">
        <v>534245</v>
      </c>
      <c r="AL27" s="230">
        <v>529808</v>
      </c>
      <c r="AM27" s="230">
        <v>542065</v>
      </c>
      <c r="AN27" s="229">
        <v>555486</v>
      </c>
      <c r="AO27" s="191">
        <v>563519</v>
      </c>
      <c r="AP27" s="191">
        <v>555829</v>
      </c>
      <c r="AQ27" s="191">
        <v>550303</v>
      </c>
      <c r="AR27" s="191">
        <v>517055</v>
      </c>
      <c r="AS27" s="191">
        <v>536442</v>
      </c>
      <c r="AT27" s="191">
        <v>521981</v>
      </c>
      <c r="AU27" s="191">
        <v>511118</v>
      </c>
      <c r="AV27" s="191">
        <v>479534</v>
      </c>
      <c r="AW27" s="191">
        <v>480521</v>
      </c>
      <c r="AX27" s="191">
        <v>488593</v>
      </c>
      <c r="AY27" s="191">
        <v>502538</v>
      </c>
      <c r="AZ27" s="191">
        <v>518693</v>
      </c>
      <c r="BA27" s="191">
        <v>489926</v>
      </c>
      <c r="BB27" s="191">
        <v>485650</v>
      </c>
      <c r="BC27" s="191">
        <v>483066</v>
      </c>
      <c r="BD27" s="191">
        <v>484217</v>
      </c>
      <c r="BE27" s="176">
        <v>470227</v>
      </c>
      <c r="BF27" s="37">
        <v>456298</v>
      </c>
      <c r="BG27" s="37">
        <v>446806</v>
      </c>
      <c r="BH27" s="37">
        <v>438675</v>
      </c>
      <c r="BI27" s="37">
        <v>438451</v>
      </c>
      <c r="BJ27" s="37">
        <v>434358</v>
      </c>
      <c r="BK27" s="37">
        <v>465460</v>
      </c>
      <c r="BL27" s="37">
        <v>432399</v>
      </c>
      <c r="BM27" s="37">
        <v>405853</v>
      </c>
      <c r="BN27" s="37">
        <v>410771</v>
      </c>
      <c r="BO27" s="37">
        <v>402641</v>
      </c>
      <c r="BP27" s="74"/>
      <c r="BQ27" s="74"/>
      <c r="BR27" s="74"/>
      <c r="BS27" s="74"/>
      <c r="BT27" s="73"/>
      <c r="BU27" s="73"/>
      <c r="BV27" s="73"/>
      <c r="BW27" s="73"/>
      <c r="BX27" s="73"/>
      <c r="BY27" s="73"/>
      <c r="BZ27" s="145"/>
      <c r="CA27" s="145"/>
    </row>
    <row r="28" spans="1:79" ht="15" customHeight="1">
      <c r="A28" s="158" t="s">
        <v>187</v>
      </c>
      <c r="B28" s="159" t="s">
        <v>206</v>
      </c>
      <c r="C28" s="124" t="str">
        <f>IF($B$1=1,B28,A28)</f>
        <v>Indlån i puljer og unit-link investeringskontrakter</v>
      </c>
      <c r="D28" s="262">
        <v>111537</v>
      </c>
      <c r="E28" s="262">
        <v>101773</v>
      </c>
      <c r="F28" s="262">
        <v>100177</v>
      </c>
      <c r="G28" s="262">
        <v>98448</v>
      </c>
      <c r="H28" s="262">
        <v>97840</v>
      </c>
      <c r="I28" s="262">
        <v>157613</v>
      </c>
      <c r="J28" s="262">
        <v>153702</v>
      </c>
      <c r="K28" s="262">
        <v>119809</v>
      </c>
      <c r="L28" s="262">
        <v>119901</v>
      </c>
      <c r="M28" s="262">
        <v>117390</v>
      </c>
      <c r="N28" s="262">
        <v>114537</v>
      </c>
      <c r="O28" s="262">
        <v>112298</v>
      </c>
      <c r="P28" s="262">
        <v>106418</v>
      </c>
      <c r="Q28" s="262">
        <v>101950</v>
      </c>
      <c r="R28" s="262">
        <v>99313</v>
      </c>
      <c r="S28" s="262">
        <v>95974</v>
      </c>
      <c r="T28" s="262">
        <v>96958</v>
      </c>
      <c r="U28" s="262">
        <v>91754</v>
      </c>
      <c r="V28" s="262">
        <v>95432</v>
      </c>
      <c r="W28" s="262">
        <v>96142</v>
      </c>
      <c r="X28" s="262">
        <v>86433</v>
      </c>
      <c r="Y28" s="262">
        <v>86875</v>
      </c>
      <c r="Z28" s="262">
        <v>85899</v>
      </c>
      <c r="AA28" s="262">
        <v>82863</v>
      </c>
      <c r="AB28" s="221">
        <v>81882</v>
      </c>
      <c r="AC28" s="221">
        <v>77247</v>
      </c>
      <c r="AD28" s="221">
        <v>79128</v>
      </c>
      <c r="AE28" s="221">
        <v>82260</v>
      </c>
      <c r="AF28" s="221">
        <v>78741</v>
      </c>
      <c r="AG28" s="221">
        <v>77360</v>
      </c>
      <c r="AH28" s="230">
        <v>73368</v>
      </c>
      <c r="AI28" s="230">
        <v>73874</v>
      </c>
      <c r="AJ28" s="230">
        <v>69211</v>
      </c>
      <c r="AK28" s="230">
        <v>65181</v>
      </c>
      <c r="AL28" s="230">
        <v>69852</v>
      </c>
      <c r="AM28" s="230">
        <v>68844</v>
      </c>
      <c r="AN28" s="229">
        <v>67277</v>
      </c>
      <c r="AO28" s="191">
        <v>63218</v>
      </c>
      <c r="AP28" s="191">
        <v>60028</v>
      </c>
      <c r="AQ28" s="191">
        <v>58270</v>
      </c>
      <c r="AR28" s="191">
        <v>53133</v>
      </c>
      <c r="AS28" s="191">
        <v>49170</v>
      </c>
      <c r="AT28" s="191">
        <v>44819</v>
      </c>
      <c r="AU28" s="191">
        <v>40808</v>
      </c>
      <c r="AV28" s="191">
        <v>41827</v>
      </c>
      <c r="AW28" s="191">
        <v>45726</v>
      </c>
      <c r="AX28" s="191">
        <v>47619</v>
      </c>
      <c r="AY28" s="191">
        <v>47273</v>
      </c>
      <c r="AZ28" s="191">
        <v>50260</v>
      </c>
      <c r="BA28" s="191">
        <v>48143</v>
      </c>
      <c r="BB28" s="191">
        <v>48298</v>
      </c>
      <c r="BC28" s="191">
        <v>47553</v>
      </c>
      <c r="BD28" s="191">
        <v>46983</v>
      </c>
      <c r="BE28" s="176">
        <v>44603</v>
      </c>
      <c r="BF28" s="37">
        <v>42731</v>
      </c>
      <c r="BG28" s="37">
        <v>43863</v>
      </c>
      <c r="BH28" s="37">
        <v>42287</v>
      </c>
      <c r="BI28" s="37">
        <v>39117</v>
      </c>
      <c r="BJ28" s="37">
        <v>36441</v>
      </c>
      <c r="BK28" s="37">
        <v>38377</v>
      </c>
      <c r="BL28" s="37">
        <v>35944</v>
      </c>
      <c r="BM28" s="37">
        <v>35317</v>
      </c>
      <c r="BN28" s="37">
        <v>35008</v>
      </c>
      <c r="BO28" s="37">
        <v>34655</v>
      </c>
      <c r="BP28" s="145"/>
      <c r="BQ28" s="145"/>
      <c r="BR28" s="145"/>
      <c r="BS28" s="145"/>
      <c r="BT28" s="145"/>
      <c r="BU28" s="145"/>
      <c r="BV28" s="145"/>
      <c r="BW28" s="145"/>
      <c r="BX28" s="145"/>
      <c r="BY28" s="145"/>
      <c r="BZ28" s="145"/>
      <c r="CA28" s="145"/>
    </row>
    <row r="29" spans="1:79" ht="15" customHeight="1">
      <c r="A29" s="158" t="s">
        <v>132</v>
      </c>
      <c r="B29" s="159" t="s">
        <v>207</v>
      </c>
      <c r="C29" s="124" t="str">
        <f>IF($B$1=1,B29,A29)</f>
        <v>Forpligtelser vedr. forsikringskontrakter</v>
      </c>
      <c r="D29" s="262">
        <v>504714</v>
      </c>
      <c r="E29" s="262">
        <v>563835</v>
      </c>
      <c r="F29" s="262">
        <v>503148</v>
      </c>
      <c r="G29" s="262">
        <v>458521</v>
      </c>
      <c r="H29" s="262">
        <v>417279</v>
      </c>
      <c r="I29" s="262">
        <v>422288</v>
      </c>
      <c r="J29" s="262">
        <v>422586</v>
      </c>
      <c r="K29" s="262">
        <v>314585</v>
      </c>
      <c r="L29" s="262">
        <v>322726</v>
      </c>
      <c r="M29" s="262">
        <v>320253</v>
      </c>
      <c r="N29" s="262">
        <v>309933</v>
      </c>
      <c r="O29" s="262">
        <v>314759</v>
      </c>
      <c r="P29" s="262">
        <v>314977</v>
      </c>
      <c r="Q29" s="262">
        <v>337817</v>
      </c>
      <c r="R29" s="262">
        <v>319351</v>
      </c>
      <c r="S29" s="262">
        <v>299824</v>
      </c>
      <c r="T29" s="262">
        <v>285030</v>
      </c>
      <c r="U29" s="262">
        <v>282324</v>
      </c>
      <c r="V29" s="262">
        <v>288658</v>
      </c>
      <c r="W29" s="262">
        <v>305261</v>
      </c>
      <c r="X29" s="262">
        <v>288352</v>
      </c>
      <c r="Y29" s="262">
        <v>281996</v>
      </c>
      <c r="Z29" s="262">
        <v>276156</v>
      </c>
      <c r="AA29" s="262">
        <v>267629</v>
      </c>
      <c r="AB29" s="221">
        <v>262468</v>
      </c>
      <c r="AC29" s="221">
        <v>263310</v>
      </c>
      <c r="AD29" s="221">
        <v>261088</v>
      </c>
      <c r="AE29" s="221">
        <v>265300</v>
      </c>
      <c r="AF29" s="221">
        <v>266938</v>
      </c>
      <c r="AG29" s="221">
        <v>262624</v>
      </c>
      <c r="AH29" s="230">
        <v>258367</v>
      </c>
      <c r="AI29" s="230">
        <v>253604</v>
      </c>
      <c r="AJ29" s="230">
        <v>248966</v>
      </c>
      <c r="AK29" s="230">
        <v>240519</v>
      </c>
      <c r="AL29" s="230">
        <v>237074</v>
      </c>
      <c r="AM29" s="230">
        <v>235556</v>
      </c>
      <c r="AN29" s="229">
        <v>238132</v>
      </c>
      <c r="AO29" s="191">
        <v>242917</v>
      </c>
      <c r="AP29" s="191">
        <v>233654</v>
      </c>
      <c r="AQ29" s="191">
        <v>230808</v>
      </c>
      <c r="AR29" s="191">
        <v>223876</v>
      </c>
      <c r="AS29" s="191">
        <v>223842</v>
      </c>
      <c r="AT29" s="191">
        <v>214921</v>
      </c>
      <c r="AU29" s="191">
        <v>208972</v>
      </c>
      <c r="AV29" s="191">
        <v>210988</v>
      </c>
      <c r="AW29" s="191">
        <v>206976</v>
      </c>
      <c r="AX29" s="191">
        <v>209123</v>
      </c>
      <c r="AY29" s="191">
        <v>211669</v>
      </c>
      <c r="AZ29" s="191">
        <v>213419</v>
      </c>
      <c r="BA29" s="191">
        <v>215448</v>
      </c>
      <c r="BB29" s="191">
        <v>213966</v>
      </c>
      <c r="BC29" s="191">
        <v>215313</v>
      </c>
      <c r="BD29" s="191">
        <v>215793</v>
      </c>
      <c r="BE29" s="176">
        <v>213770</v>
      </c>
      <c r="BF29" s="37">
        <v>205805</v>
      </c>
      <c r="BG29" s="37">
        <v>210402</v>
      </c>
      <c r="BH29" s="37">
        <v>212328</v>
      </c>
      <c r="BI29" s="37">
        <v>211848</v>
      </c>
      <c r="BJ29" s="37">
        <v>207544</v>
      </c>
      <c r="BK29" s="37">
        <v>193541</v>
      </c>
      <c r="BL29" s="37">
        <v>191149</v>
      </c>
      <c r="BM29" s="37">
        <v>186051</v>
      </c>
      <c r="BN29" s="37">
        <v>178035</v>
      </c>
      <c r="BO29" s="37">
        <v>178848</v>
      </c>
      <c r="BP29" s="145"/>
      <c r="BQ29" s="145"/>
      <c r="BR29" s="145"/>
      <c r="BS29" s="145"/>
      <c r="BT29" s="145"/>
      <c r="BU29" s="145"/>
      <c r="BV29" s="145"/>
      <c r="BW29" s="145"/>
      <c r="BX29" s="145"/>
      <c r="BY29" s="145"/>
      <c r="BZ29" s="145"/>
      <c r="CA29" s="145"/>
    </row>
    <row r="30" spans="1:79" ht="15" customHeight="1">
      <c r="A30" s="158" t="s">
        <v>325</v>
      </c>
      <c r="B30" s="159" t="s">
        <v>326</v>
      </c>
      <c r="C30" s="124" t="str">
        <f t="shared" si="6"/>
        <v>Udstedte obligationer til amortiseret kostpris</v>
      </c>
      <c r="D30" s="272">
        <v>256355</v>
      </c>
      <c r="E30" s="272">
        <v>267696</v>
      </c>
      <c r="F30" s="272">
        <v>287751</v>
      </c>
      <c r="G30" s="272">
        <v>290490</v>
      </c>
      <c r="H30" s="272">
        <v>285629</v>
      </c>
      <c r="I30" s="272">
        <v>314628</v>
      </c>
      <c r="J30" s="272">
        <v>321395</v>
      </c>
      <c r="K30" s="272">
        <v>313364</v>
      </c>
      <c r="L30" s="262">
        <v>405080</v>
      </c>
      <c r="M30" s="262">
        <v>409035</v>
      </c>
      <c r="N30" s="262">
        <v>428134</v>
      </c>
      <c r="O30" s="262">
        <v>449234</v>
      </c>
      <c r="P30" s="262">
        <v>392512</v>
      </c>
      <c r="Q30" s="262">
        <v>382487</v>
      </c>
      <c r="R30" s="262">
        <v>391477</v>
      </c>
      <c r="S30" s="262">
        <v>381367</v>
      </c>
      <c r="T30" s="262">
        <v>363931</v>
      </c>
      <c r="U30" s="262">
        <v>344499</v>
      </c>
      <c r="V30" s="262">
        <v>345532</v>
      </c>
      <c r="W30" s="262">
        <v>350724</v>
      </c>
      <c r="X30" s="262">
        <v>330207</v>
      </c>
      <c r="Y30" s="262">
        <v>315867</v>
      </c>
      <c r="Z30" s="262">
        <v>297571</v>
      </c>
      <c r="AA30" s="262">
        <v>308336</v>
      </c>
      <c r="AB30" s="221">
        <v>310178</v>
      </c>
      <c r="AC30" s="221">
        <v>317587</v>
      </c>
      <c r="AD30" s="221">
        <v>342280</v>
      </c>
      <c r="AE30" s="221">
        <v>347289</v>
      </c>
      <c r="AF30" s="221">
        <v>340005</v>
      </c>
      <c r="AG30" s="221">
        <v>344791</v>
      </c>
      <c r="AH30" s="230">
        <v>316967</v>
      </c>
      <c r="AI30" s="230">
        <v>363892</v>
      </c>
      <c r="AJ30" s="230">
        <v>366920</v>
      </c>
      <c r="AK30" s="230">
        <v>359022</v>
      </c>
      <c r="AL30" s="230">
        <v>410409</v>
      </c>
      <c r="AM30" s="230">
        <v>422272</v>
      </c>
      <c r="AN30" s="229">
        <v>450219</v>
      </c>
      <c r="AO30" s="191">
        <v>447277</v>
      </c>
      <c r="AP30" s="191">
        <v>543917</v>
      </c>
      <c r="AQ30" s="191">
        <v>517394</v>
      </c>
      <c r="AR30" s="191">
        <v>514601</v>
      </c>
      <c r="AS30" s="191">
        <v>575237</v>
      </c>
      <c r="AT30" s="191">
        <v>564134</v>
      </c>
      <c r="AU30" s="191">
        <v>562128</v>
      </c>
      <c r="AV30" s="191">
        <v>526606</v>
      </c>
      <c r="AW30" s="191">
        <v>493890</v>
      </c>
      <c r="AX30" s="191">
        <v>462089</v>
      </c>
      <c r="AY30" s="191">
        <v>436305</v>
      </c>
      <c r="AZ30" s="191">
        <v>402391</v>
      </c>
      <c r="BA30" s="191">
        <v>438809</v>
      </c>
      <c r="BB30" s="191">
        <v>423345</v>
      </c>
      <c r="BC30" s="191">
        <v>403757</v>
      </c>
      <c r="BD30" s="191">
        <v>293736</v>
      </c>
      <c r="BE30" s="176">
        <v>305672</v>
      </c>
      <c r="BF30" s="37">
        <v>268291</v>
      </c>
      <c r="BG30" s="37">
        <v>296379</v>
      </c>
      <c r="BH30" s="37">
        <v>251099</v>
      </c>
      <c r="BI30" s="37">
        <v>227343</v>
      </c>
      <c r="BJ30" s="37">
        <v>217551</v>
      </c>
      <c r="BK30" s="37">
        <v>200417</v>
      </c>
      <c r="BL30" s="37">
        <v>190255</v>
      </c>
      <c r="BM30" s="37">
        <v>182771</v>
      </c>
      <c r="BN30" s="37">
        <v>201194</v>
      </c>
      <c r="BO30" s="37">
        <v>206901</v>
      </c>
      <c r="BP30" s="145"/>
      <c r="BQ30" s="145"/>
      <c r="BR30" s="145"/>
      <c r="BS30" s="145"/>
      <c r="BT30" s="145"/>
      <c r="BU30" s="145"/>
      <c r="BV30" s="145"/>
      <c r="BW30" s="145"/>
      <c r="BX30" s="145"/>
      <c r="BY30" s="145"/>
      <c r="BZ30" s="145"/>
      <c r="CA30" s="145"/>
    </row>
    <row r="31" spans="1:79" ht="15" customHeight="1">
      <c r="A31" s="158" t="s">
        <v>23</v>
      </c>
      <c r="B31" s="159" t="s">
        <v>136</v>
      </c>
      <c r="C31" s="124" t="str">
        <f t="shared" si="6"/>
        <v>Øvrige passiver</v>
      </c>
      <c r="D31" s="262">
        <f aca="true" t="shared" si="7" ref="D31:AA31">D33-D32-SUM(D24:D30)</f>
        <v>135527</v>
      </c>
      <c r="E31" s="262">
        <f t="shared" si="7"/>
        <v>140838</v>
      </c>
      <c r="F31" s="262">
        <f t="shared" si="7"/>
        <v>116102</v>
      </c>
      <c r="G31" s="262">
        <f t="shared" si="7"/>
        <v>181042</v>
      </c>
      <c r="H31" s="262">
        <f t="shared" si="7"/>
        <v>133817</v>
      </c>
      <c r="I31" s="262">
        <f t="shared" si="7"/>
        <v>54217</v>
      </c>
      <c r="J31" s="262">
        <f t="shared" si="7"/>
        <v>49246</v>
      </c>
      <c r="K31" s="262">
        <f t="shared" si="7"/>
        <v>53022</v>
      </c>
      <c r="L31" s="262">
        <f t="shared" si="7"/>
        <v>45729</v>
      </c>
      <c r="M31" s="262">
        <f t="shared" si="7"/>
        <v>41014</v>
      </c>
      <c r="N31" s="262">
        <f t="shared" si="7"/>
        <v>44766</v>
      </c>
      <c r="O31" s="262">
        <f t="shared" si="7"/>
        <v>45861</v>
      </c>
      <c r="P31" s="262">
        <f t="shared" si="7"/>
        <v>43536</v>
      </c>
      <c r="Q31" s="262">
        <f t="shared" si="7"/>
        <v>41784</v>
      </c>
      <c r="R31" s="262">
        <f t="shared" si="7"/>
        <v>40797</v>
      </c>
      <c r="S31" s="262">
        <f t="shared" si="7"/>
        <v>45068</v>
      </c>
      <c r="T31" s="262">
        <f t="shared" si="7"/>
        <v>45426</v>
      </c>
      <c r="U31" s="262">
        <f t="shared" si="7"/>
        <v>52845</v>
      </c>
      <c r="V31" s="262">
        <f t="shared" si="7"/>
        <v>51028</v>
      </c>
      <c r="W31" s="262">
        <f t="shared" si="7"/>
        <v>51613</v>
      </c>
      <c r="X31" s="262">
        <f t="shared" si="7"/>
        <v>52773</v>
      </c>
      <c r="Y31" s="262">
        <f t="shared" si="7"/>
        <v>53767</v>
      </c>
      <c r="Z31" s="262">
        <f t="shared" si="7"/>
        <v>49730</v>
      </c>
      <c r="AA31" s="262">
        <f t="shared" si="7"/>
        <v>53846</v>
      </c>
      <c r="AB31" s="221">
        <f>9039+45736</f>
        <v>54775</v>
      </c>
      <c r="AC31" s="221">
        <f>859+7623+41010</f>
        <v>49492</v>
      </c>
      <c r="AD31" s="221">
        <f>569+7571+37774</f>
        <v>45914</v>
      </c>
      <c r="AE31" s="221">
        <f>586+7629+42704</f>
        <v>50919</v>
      </c>
      <c r="AF31" s="221">
        <f>575+7583+50109</f>
        <v>58267</v>
      </c>
      <c r="AG31" s="221">
        <f>566+332+6849+41710</f>
        <v>49457</v>
      </c>
      <c r="AH31" s="230">
        <f>550+172+6710+39239</f>
        <v>46671</v>
      </c>
      <c r="AI31" s="230">
        <f>36877+6721+331</f>
        <v>43929</v>
      </c>
      <c r="AJ31" s="230">
        <f>423+6278+41428</f>
        <v>48129</v>
      </c>
      <c r="AK31" s="230">
        <f>474+6587+39688</f>
        <v>46749</v>
      </c>
      <c r="AL31" s="230">
        <v>43558</v>
      </c>
      <c r="AM31" s="230">
        <f>678+5962+45454</f>
        <v>52094</v>
      </c>
      <c r="AN31" s="229">
        <v>63267</v>
      </c>
      <c r="AO31" s="191">
        <v>60775</v>
      </c>
      <c r="AP31" s="191">
        <v>56476</v>
      </c>
      <c r="AQ31" s="191">
        <v>50073</v>
      </c>
      <c r="AR31" s="191">
        <v>57835</v>
      </c>
      <c r="AS31" s="191">
        <v>59005</v>
      </c>
      <c r="AT31" s="191">
        <v>59708</v>
      </c>
      <c r="AU31" s="191">
        <v>54363</v>
      </c>
      <c r="AV31" s="191">
        <v>68206</v>
      </c>
      <c r="AW31" s="191">
        <v>64262</v>
      </c>
      <c r="AX31" s="191">
        <f>AX33-(AX24+AX26+AX27+AX25+AX30+AX28+AX29+AX32)</f>
        <v>67063</v>
      </c>
      <c r="AY31" s="191">
        <f>AY33-(AY24+AY26+AY27+AY25+AY30+AY28+AY29+AY32)</f>
        <v>52730</v>
      </c>
      <c r="AZ31" s="191">
        <v>68490</v>
      </c>
      <c r="BA31" s="191">
        <v>61317</v>
      </c>
      <c r="BB31" s="191">
        <v>59828</v>
      </c>
      <c r="BC31" s="191">
        <v>52925</v>
      </c>
      <c r="BD31" s="191">
        <v>49605</v>
      </c>
      <c r="BE31" s="176">
        <f>44260+3017+1577</f>
        <v>48854</v>
      </c>
      <c r="BF31" s="37">
        <f>44206+1600+1749</f>
        <v>47555</v>
      </c>
      <c r="BG31" s="37">
        <v>37187</v>
      </c>
      <c r="BH31" s="37">
        <v>50084</v>
      </c>
      <c r="BI31" s="37">
        <v>53388</v>
      </c>
      <c r="BJ31" s="37">
        <v>50170</v>
      </c>
      <c r="BK31" s="37">
        <v>45982</v>
      </c>
      <c r="BL31" s="37">
        <v>45050</v>
      </c>
      <c r="BM31" s="37">
        <v>33840</v>
      </c>
      <c r="BN31" s="37">
        <v>35403</v>
      </c>
      <c r="BO31" s="37">
        <v>28967</v>
      </c>
      <c r="BP31" s="74"/>
      <c r="BQ31" s="74"/>
      <c r="BR31" s="147"/>
      <c r="BS31" s="107"/>
      <c r="BT31" s="73"/>
      <c r="BU31" s="73"/>
      <c r="BV31" s="145"/>
      <c r="BW31" s="145"/>
      <c r="BX31" s="145"/>
      <c r="BY31" s="145"/>
      <c r="BZ31" s="145"/>
      <c r="CA31" s="145"/>
    </row>
    <row r="32" spans="1:79" ht="15" customHeight="1">
      <c r="A32" s="158" t="s">
        <v>15</v>
      </c>
      <c r="B32" s="159" t="s">
        <v>6</v>
      </c>
      <c r="C32" s="124" t="str">
        <f t="shared" si="6"/>
        <v>Efterstillede kapitalindskud</v>
      </c>
      <c r="D32" s="262">
        <v>31733</v>
      </c>
      <c r="E32" s="262">
        <v>25948</v>
      </c>
      <c r="F32" s="262">
        <v>25415</v>
      </c>
      <c r="G32" s="262">
        <v>28891</v>
      </c>
      <c r="H32" s="262">
        <v>23092</v>
      </c>
      <c r="I32" s="262">
        <v>33882</v>
      </c>
      <c r="J32" s="262">
        <v>33847</v>
      </c>
      <c r="K32" s="262">
        <v>28840</v>
      </c>
      <c r="L32" s="262">
        <v>29120</v>
      </c>
      <c r="M32" s="262">
        <v>29390</v>
      </c>
      <c r="N32" s="262">
        <v>30110</v>
      </c>
      <c r="O32" s="262">
        <v>35922</v>
      </c>
      <c r="P32" s="262">
        <v>37831</v>
      </c>
      <c r="Q32" s="262">
        <v>38249</v>
      </c>
      <c r="R32" s="262">
        <v>38726</v>
      </c>
      <c r="S32" s="262">
        <v>39361</v>
      </c>
      <c r="T32" s="262">
        <v>39991</v>
      </c>
      <c r="U32" s="262">
        <v>40022</v>
      </c>
      <c r="V32" s="262">
        <v>36846</v>
      </c>
      <c r="W32" s="262">
        <v>36948</v>
      </c>
      <c r="X32" s="262">
        <v>41028</v>
      </c>
      <c r="Y32" s="262">
        <v>41291</v>
      </c>
      <c r="Z32" s="262">
        <v>41094</v>
      </c>
      <c r="AA32" s="262">
        <v>65277</v>
      </c>
      <c r="AB32" s="221">
        <v>66219</v>
      </c>
      <c r="AC32" s="221">
        <v>58502</v>
      </c>
      <c r="AD32" s="221">
        <v>58905</v>
      </c>
      <c r="AE32" s="221">
        <v>63561</v>
      </c>
      <c r="AF32" s="221">
        <v>67785</v>
      </c>
      <c r="AG32" s="221">
        <v>68652</v>
      </c>
      <c r="AH32" s="230">
        <v>62584</v>
      </c>
      <c r="AI32" s="230">
        <v>64033</v>
      </c>
      <c r="AJ32" s="230">
        <v>67328</v>
      </c>
      <c r="AK32" s="230">
        <v>70059</v>
      </c>
      <c r="AL32" s="230">
        <v>72288</v>
      </c>
      <c r="AM32" s="230">
        <v>75626</v>
      </c>
      <c r="AN32" s="229">
        <v>77336</v>
      </c>
      <c r="AO32" s="191">
        <v>79578</v>
      </c>
      <c r="AP32" s="191">
        <v>84636</v>
      </c>
      <c r="AQ32" s="191">
        <v>81471</v>
      </c>
      <c r="AR32" s="191">
        <v>80022</v>
      </c>
      <c r="AS32" s="191">
        <v>83578</v>
      </c>
      <c r="AT32" s="191">
        <v>83402</v>
      </c>
      <c r="AU32" s="191">
        <v>58027</v>
      </c>
      <c r="AV32" s="191">
        <v>57860</v>
      </c>
      <c r="AW32" s="191">
        <v>57597</v>
      </c>
      <c r="AX32" s="191">
        <v>56329</v>
      </c>
      <c r="AY32" s="191">
        <v>57830</v>
      </c>
      <c r="AZ32" s="191">
        <v>59025</v>
      </c>
      <c r="BA32" s="191">
        <v>56583</v>
      </c>
      <c r="BB32" s="191">
        <v>57391</v>
      </c>
      <c r="BC32" s="191">
        <v>62120</v>
      </c>
      <c r="BD32" s="191">
        <v>48951</v>
      </c>
      <c r="BE32" s="176">
        <v>40358</v>
      </c>
      <c r="BF32" s="37">
        <v>40164</v>
      </c>
      <c r="BG32" s="37">
        <v>41951</v>
      </c>
      <c r="BH32" s="37">
        <v>43837</v>
      </c>
      <c r="BI32" s="37">
        <v>45522</v>
      </c>
      <c r="BJ32" s="37">
        <v>41888</v>
      </c>
      <c r="BK32" s="37">
        <v>40462</v>
      </c>
      <c r="BL32" s="37">
        <v>33698</v>
      </c>
      <c r="BM32" s="37">
        <v>36847</v>
      </c>
      <c r="BN32" s="37">
        <v>37321</v>
      </c>
      <c r="BO32" s="37">
        <v>33667</v>
      </c>
      <c r="BP32" s="79"/>
      <c r="BQ32" s="144"/>
      <c r="BR32" s="144"/>
      <c r="BS32" s="74"/>
      <c r="BT32" s="73"/>
      <c r="BU32" s="73"/>
      <c r="BV32" s="145"/>
      <c r="BW32" s="145"/>
      <c r="BX32" s="145"/>
      <c r="BY32" s="145"/>
      <c r="BZ32" s="145"/>
      <c r="CA32" s="145"/>
    </row>
    <row r="33" spans="1:79" ht="15" customHeight="1">
      <c r="A33" s="158" t="s">
        <v>24</v>
      </c>
      <c r="B33" s="27" t="s">
        <v>211</v>
      </c>
      <c r="C33" s="124" t="str">
        <f t="shared" si="6"/>
        <v>Forpligtelser i alt</v>
      </c>
      <c r="D33" s="262">
        <v>3590541</v>
      </c>
      <c r="E33" s="262">
        <v>3797255</v>
      </c>
      <c r="F33" s="262">
        <v>3615422</v>
      </c>
      <c r="G33" s="262">
        <v>3556337</v>
      </c>
      <c r="H33" s="262">
        <v>3415191</v>
      </c>
      <c r="I33" s="262">
        <v>3512325</v>
      </c>
      <c r="J33" s="262">
        <v>3545522</v>
      </c>
      <c r="K33" s="262">
        <v>3378918</v>
      </c>
      <c r="L33" s="262">
        <v>3371272</v>
      </c>
      <c r="M33" s="262">
        <v>3382406</v>
      </c>
      <c r="N33" s="262">
        <v>3409819</v>
      </c>
      <c r="O33" s="262">
        <v>3383002</v>
      </c>
      <c r="P33" s="262">
        <v>3317055</v>
      </c>
      <c r="Q33" s="262">
        <v>3388302</v>
      </c>
      <c r="R33" s="262">
        <v>3325238</v>
      </c>
      <c r="S33" s="262">
        <v>3232413</v>
      </c>
      <c r="T33" s="262">
        <v>3132048</v>
      </c>
      <c r="U33" s="262">
        <v>3186453</v>
      </c>
      <c r="V33" s="262">
        <v>3292158</v>
      </c>
      <c r="W33" s="262">
        <v>3513933</v>
      </c>
      <c r="X33" s="262">
        <v>3300632</v>
      </c>
      <c r="Y33" s="262">
        <v>3279327</v>
      </c>
      <c r="Z33" s="262">
        <v>3118347</v>
      </c>
      <c r="AA33" s="262">
        <v>3163281</v>
      </c>
      <c r="AB33" s="221">
        <v>3081400</v>
      </c>
      <c r="AC33" s="221">
        <f aca="true" t="shared" si="8" ref="AC33:AM33">SUM(AC24:AC32)</f>
        <v>3124913</v>
      </c>
      <c r="AD33" s="221">
        <f t="shared" si="8"/>
        <v>3175480</v>
      </c>
      <c r="AE33" s="221">
        <f t="shared" si="8"/>
        <v>3361430</v>
      </c>
      <c r="AF33" s="221">
        <f>SUM(AF24:AF32)</f>
        <v>3346945</v>
      </c>
      <c r="AG33" s="221">
        <f t="shared" si="8"/>
        <v>3469157</v>
      </c>
      <c r="AH33" s="230">
        <f>SUM(AH24:AH32)</f>
        <v>3352521</v>
      </c>
      <c r="AI33" s="230">
        <f t="shared" si="8"/>
        <v>3373831</v>
      </c>
      <c r="AJ33" s="230">
        <f t="shared" si="8"/>
        <v>3298548</v>
      </c>
      <c r="AK33" s="230">
        <f t="shared" si="8"/>
        <v>3255354</v>
      </c>
      <c r="AL33" s="230">
        <f t="shared" si="8"/>
        <v>3001093</v>
      </c>
      <c r="AM33" s="230">
        <f t="shared" si="8"/>
        <v>3020388</v>
      </c>
      <c r="AN33" s="229">
        <v>3109144</v>
      </c>
      <c r="AO33" s="191">
        <v>3257607</v>
      </c>
      <c r="AP33" s="191">
        <v>3261338</v>
      </c>
      <c r="AQ33" s="191">
        <v>3106862</v>
      </c>
      <c r="AR33" s="191">
        <v>2997818</v>
      </c>
      <c r="AS33" s="191">
        <v>3197954</v>
      </c>
      <c r="AT33" s="191">
        <v>3140134</v>
      </c>
      <c r="AU33" s="191">
        <f>SUM(AU24:AU32)</f>
        <v>3244126</v>
      </c>
      <c r="AV33" s="191">
        <f>SUM(AV24:AV32)</f>
        <v>3445727</v>
      </c>
      <c r="AW33" s="191">
        <f>SUM(AW24:AW32)</f>
        <v>3409704</v>
      </c>
      <c r="AX33" s="191">
        <v>3386970</v>
      </c>
      <c r="AY33" s="191">
        <v>3342281</v>
      </c>
      <c r="AZ33" s="191">
        <v>3245175</v>
      </c>
      <c r="BA33" s="191">
        <v>3093412</v>
      </c>
      <c r="BB33" s="191">
        <v>2974375</v>
      </c>
      <c r="BC33" s="191">
        <v>2857459</v>
      </c>
      <c r="BD33" s="191">
        <v>2644189</v>
      </c>
      <c r="BE33" s="176">
        <v>2576191</v>
      </c>
      <c r="BF33" s="37">
        <v>2439066</v>
      </c>
      <c r="BG33" s="37">
        <v>2321357</v>
      </c>
      <c r="BH33" s="37">
        <v>2357899</v>
      </c>
      <c r="BI33" s="37">
        <v>2328464</v>
      </c>
      <c r="BJ33" s="37">
        <v>2365631</v>
      </c>
      <c r="BK33" s="37">
        <v>2206449</v>
      </c>
      <c r="BL33" s="37">
        <v>1985534</v>
      </c>
      <c r="BM33" s="37">
        <v>1921937</v>
      </c>
      <c r="BN33" s="37">
        <v>1823771</v>
      </c>
      <c r="BO33" s="37">
        <v>1853257</v>
      </c>
      <c r="BP33" s="74"/>
      <c r="BQ33" s="74"/>
      <c r="BR33" s="74"/>
      <c r="BS33" s="74"/>
      <c r="BT33" s="73"/>
      <c r="BU33" s="73"/>
      <c r="BV33" s="145"/>
      <c r="BW33" s="145"/>
      <c r="BX33" s="145"/>
      <c r="BY33" s="145"/>
      <c r="BZ33" s="145"/>
      <c r="CA33" s="145"/>
    </row>
    <row r="34" spans="1:79" ht="15" customHeight="1">
      <c r="A34" s="158" t="s">
        <v>133</v>
      </c>
      <c r="B34" s="27" t="s">
        <v>5</v>
      </c>
      <c r="C34" s="131" t="str">
        <f t="shared" si="6"/>
        <v>Egenkapital</v>
      </c>
      <c r="D34" s="271"/>
      <c r="E34" s="271"/>
      <c r="F34" s="271"/>
      <c r="G34" s="271"/>
      <c r="H34" s="271"/>
      <c r="I34" s="271"/>
      <c r="J34" s="271"/>
      <c r="K34" s="271"/>
      <c r="L34" s="271"/>
      <c r="M34" s="271"/>
      <c r="N34" s="271"/>
      <c r="O34" s="271"/>
      <c r="P34" s="271"/>
      <c r="Q34" s="271"/>
      <c r="R34" s="266"/>
      <c r="S34" s="266"/>
      <c r="T34" s="266"/>
      <c r="U34" s="266"/>
      <c r="V34" s="266"/>
      <c r="W34" s="266"/>
      <c r="X34" s="266"/>
      <c r="Y34" s="266"/>
      <c r="Z34" s="266"/>
      <c r="AA34" s="266"/>
      <c r="AB34" s="244"/>
      <c r="AC34" s="244"/>
      <c r="AD34" s="244"/>
      <c r="AE34" s="244"/>
      <c r="AF34" s="244"/>
      <c r="AG34" s="244"/>
      <c r="AH34" s="237"/>
      <c r="AI34" s="237"/>
      <c r="AJ34" s="237"/>
      <c r="AK34" s="237"/>
      <c r="AL34" s="237"/>
      <c r="AM34" s="237"/>
      <c r="AN34" s="235"/>
      <c r="AO34" s="191"/>
      <c r="AP34" s="184"/>
      <c r="AQ34" s="184"/>
      <c r="AR34" s="184"/>
      <c r="AS34" s="184"/>
      <c r="AT34" s="184"/>
      <c r="AU34" s="184"/>
      <c r="AV34" s="184"/>
      <c r="AW34" s="184"/>
      <c r="AX34" s="184"/>
      <c r="AY34" s="184"/>
      <c r="AZ34" s="184"/>
      <c r="BA34" s="184"/>
      <c r="BB34" s="184"/>
      <c r="BC34" s="184"/>
      <c r="BD34" s="184"/>
      <c r="BE34" s="181"/>
      <c r="BF34" s="160"/>
      <c r="BG34" s="160"/>
      <c r="BH34" s="160"/>
      <c r="BI34" s="160"/>
      <c r="BJ34" s="160"/>
      <c r="BK34" s="160"/>
      <c r="BL34" s="160"/>
      <c r="BM34" s="160"/>
      <c r="BN34" s="160"/>
      <c r="BO34" s="160"/>
      <c r="BP34" s="74"/>
      <c r="BQ34" s="74"/>
      <c r="BR34" s="74"/>
      <c r="BS34" s="74"/>
      <c r="BT34" s="73"/>
      <c r="BU34" s="73"/>
      <c r="BV34" s="145"/>
      <c r="BW34" s="145"/>
      <c r="BX34" s="145"/>
      <c r="BY34" s="145"/>
      <c r="BZ34" s="145"/>
      <c r="CA34" s="145"/>
    </row>
    <row r="35" spans="1:79" ht="15" customHeight="1">
      <c r="A35" s="158" t="s">
        <v>83</v>
      </c>
      <c r="B35" s="27" t="s">
        <v>81</v>
      </c>
      <c r="C35" s="124" t="str">
        <f t="shared" si="6"/>
        <v>Aktiekapital</v>
      </c>
      <c r="D35" s="267">
        <v>8622</v>
      </c>
      <c r="E35" s="267">
        <v>8622</v>
      </c>
      <c r="F35" s="267">
        <v>8622</v>
      </c>
      <c r="G35" s="267">
        <v>8960</v>
      </c>
      <c r="H35" s="267">
        <v>8960</v>
      </c>
      <c r="I35" s="267">
        <v>8960</v>
      </c>
      <c r="J35" s="267">
        <v>8960</v>
      </c>
      <c r="K35" s="267">
        <v>9368</v>
      </c>
      <c r="L35" s="267">
        <v>9368</v>
      </c>
      <c r="M35" s="267">
        <v>9368</v>
      </c>
      <c r="N35" s="267">
        <v>9368</v>
      </c>
      <c r="O35" s="267">
        <v>9837</v>
      </c>
      <c r="P35" s="267">
        <v>9837</v>
      </c>
      <c r="Q35" s="267">
        <v>9837</v>
      </c>
      <c r="R35" s="267">
        <v>9837</v>
      </c>
      <c r="S35" s="267">
        <v>10086</v>
      </c>
      <c r="T35" s="267">
        <v>10086</v>
      </c>
      <c r="U35" s="267">
        <v>10086</v>
      </c>
      <c r="V35" s="267">
        <v>10086</v>
      </c>
      <c r="W35" s="267">
        <v>10086</v>
      </c>
      <c r="X35" s="267">
        <v>10086</v>
      </c>
      <c r="Y35" s="267">
        <v>10086</v>
      </c>
      <c r="Z35" s="267">
        <v>10086</v>
      </c>
      <c r="AA35" s="267">
        <v>10086</v>
      </c>
      <c r="AB35" s="191">
        <v>10086</v>
      </c>
      <c r="AC35" s="191">
        <v>10086</v>
      </c>
      <c r="AD35" s="191">
        <v>10086</v>
      </c>
      <c r="AE35" s="191">
        <v>10086</v>
      </c>
      <c r="AF35" s="191">
        <v>10086</v>
      </c>
      <c r="AG35" s="191">
        <v>9317</v>
      </c>
      <c r="AH35" s="191">
        <v>9317</v>
      </c>
      <c r="AI35" s="191">
        <v>9317</v>
      </c>
      <c r="AJ35" s="191">
        <v>9317</v>
      </c>
      <c r="AK35" s="191">
        <v>9317</v>
      </c>
      <c r="AL35" s="191">
        <v>9317</v>
      </c>
      <c r="AM35" s="191">
        <v>6988</v>
      </c>
      <c r="AN35" s="191">
        <v>6988</v>
      </c>
      <c r="AO35" s="191">
        <v>6988</v>
      </c>
      <c r="AP35" s="191">
        <v>6988</v>
      </c>
      <c r="AQ35" s="191">
        <v>6988</v>
      </c>
      <c r="AR35" s="191">
        <v>6988</v>
      </c>
      <c r="AS35" s="191">
        <v>6988</v>
      </c>
      <c r="AT35" s="191">
        <v>6988</v>
      </c>
      <c r="AU35" s="191">
        <v>6988</v>
      </c>
      <c r="AV35" s="191">
        <v>6988</v>
      </c>
      <c r="AW35" s="191">
        <v>6988</v>
      </c>
      <c r="AX35" s="191">
        <v>6988</v>
      </c>
      <c r="AY35" s="191">
        <v>6988</v>
      </c>
      <c r="AZ35" s="191">
        <v>6988</v>
      </c>
      <c r="BA35" s="191">
        <v>6988</v>
      </c>
      <c r="BB35" s="191">
        <v>6988</v>
      </c>
      <c r="BC35" s="191">
        <v>6988</v>
      </c>
      <c r="BD35" s="191">
        <v>6988</v>
      </c>
      <c r="BE35" s="176">
        <v>6383</v>
      </c>
      <c r="BF35" s="37">
        <v>6383</v>
      </c>
      <c r="BG35" s="37">
        <v>6383</v>
      </c>
      <c r="BH35" s="37">
        <v>6383</v>
      </c>
      <c r="BI35" s="37">
        <v>6383</v>
      </c>
      <c r="BJ35" s="37">
        <v>6383</v>
      </c>
      <c r="BK35" s="37">
        <v>6723</v>
      </c>
      <c r="BL35" s="37">
        <v>6723</v>
      </c>
      <c r="BM35" s="37">
        <v>6723</v>
      </c>
      <c r="BN35" s="37">
        <v>6723</v>
      </c>
      <c r="BO35" s="37">
        <v>7117</v>
      </c>
      <c r="BP35" s="74"/>
      <c r="BQ35" s="147"/>
      <c r="BR35" s="147"/>
      <c r="BS35" s="74"/>
      <c r="BT35" s="73"/>
      <c r="BU35" s="73"/>
      <c r="BV35" s="145"/>
      <c r="BW35" s="145"/>
      <c r="BX35" s="145"/>
      <c r="BY35" s="145"/>
      <c r="BZ35" s="145"/>
      <c r="CA35" s="145"/>
    </row>
    <row r="36" spans="1:79" ht="15" customHeight="1">
      <c r="A36" s="158" t="s">
        <v>190</v>
      </c>
      <c r="B36" s="27" t="s">
        <v>208</v>
      </c>
      <c r="C36" s="124" t="str">
        <f t="shared" si="6"/>
        <v>Valutaomregningsreserve</v>
      </c>
      <c r="D36" s="267">
        <v>-372</v>
      </c>
      <c r="E36" s="267">
        <v>-742</v>
      </c>
      <c r="F36" s="267">
        <v>-334</v>
      </c>
      <c r="G36" s="267">
        <v>-976</v>
      </c>
      <c r="H36" s="267">
        <v>-745</v>
      </c>
      <c r="I36" s="267">
        <v>-623</v>
      </c>
      <c r="J36" s="267">
        <v>-764</v>
      </c>
      <c r="K36" s="267">
        <v>-706</v>
      </c>
      <c r="L36" s="267">
        <v>-681</v>
      </c>
      <c r="M36" s="267">
        <v>-654</v>
      </c>
      <c r="N36" s="267">
        <v>-650</v>
      </c>
      <c r="O36" s="267">
        <v>-637</v>
      </c>
      <c r="P36" s="267">
        <v>-633</v>
      </c>
      <c r="Q36" s="267">
        <v>-595</v>
      </c>
      <c r="R36" s="267">
        <v>-604</v>
      </c>
      <c r="S36" s="267">
        <v>-557</v>
      </c>
      <c r="T36" s="267">
        <v>-593</v>
      </c>
      <c r="U36" s="267">
        <v>-588</v>
      </c>
      <c r="V36" s="267">
        <v>-605</v>
      </c>
      <c r="W36" s="267">
        <v>-589</v>
      </c>
      <c r="X36" s="267">
        <v>-477</v>
      </c>
      <c r="Y36" s="267">
        <v>-262</v>
      </c>
      <c r="Z36" s="267">
        <v>-262</v>
      </c>
      <c r="AA36" s="267">
        <v>-254</v>
      </c>
      <c r="AB36" s="191">
        <v>-277</v>
      </c>
      <c r="AC36" s="191">
        <v>-242</v>
      </c>
      <c r="AD36" s="191">
        <v>-237</v>
      </c>
      <c r="AE36" s="191">
        <v>-196</v>
      </c>
      <c r="AF36" s="191">
        <v>-195</v>
      </c>
      <c r="AG36" s="191">
        <v>-229</v>
      </c>
      <c r="AH36" s="191">
        <v>-313</v>
      </c>
      <c r="AI36" s="191">
        <v>-229</v>
      </c>
      <c r="AJ36" s="191">
        <v>-186</v>
      </c>
      <c r="AK36" s="191">
        <v>-258</v>
      </c>
      <c r="AL36" s="191">
        <v>-234</v>
      </c>
      <c r="AM36" s="191">
        <v>-216</v>
      </c>
      <c r="AN36" s="191">
        <v>-136</v>
      </c>
      <c r="AO36" s="191">
        <v>-192</v>
      </c>
      <c r="AP36" s="191">
        <v>-201</v>
      </c>
      <c r="AQ36" s="191">
        <v>-264</v>
      </c>
      <c r="AR36" s="191">
        <v>-184</v>
      </c>
      <c r="AS36" s="191">
        <v>-209</v>
      </c>
      <c r="AT36" s="191">
        <v>-167</v>
      </c>
      <c r="AU36" s="191">
        <v>-176</v>
      </c>
      <c r="AV36" s="191">
        <v>-290</v>
      </c>
      <c r="AW36" s="191">
        <v>-34</v>
      </c>
      <c r="AX36" s="191">
        <v>-11</v>
      </c>
      <c r="AY36" s="191">
        <v>-5</v>
      </c>
      <c r="AZ36" s="191">
        <v>-30</v>
      </c>
      <c r="BA36" s="191">
        <v>3</v>
      </c>
      <c r="BB36" s="191">
        <v>3</v>
      </c>
      <c r="BC36" s="191">
        <v>4</v>
      </c>
      <c r="BD36" s="191">
        <v>9</v>
      </c>
      <c r="BE36" s="176">
        <v>9</v>
      </c>
      <c r="BF36" s="37">
        <v>1</v>
      </c>
      <c r="BG36" s="37">
        <v>-14</v>
      </c>
      <c r="BH36" s="37">
        <v>-12</v>
      </c>
      <c r="BI36" s="37">
        <v>-5</v>
      </c>
      <c r="BJ36" s="37">
        <v>-10</v>
      </c>
      <c r="BK36" s="37">
        <v>-31</v>
      </c>
      <c r="BL36" s="37">
        <v>-32</v>
      </c>
      <c r="BM36" s="37">
        <v>-5</v>
      </c>
      <c r="BN36" s="37">
        <v>2</v>
      </c>
      <c r="BO36" s="37">
        <v>5</v>
      </c>
      <c r="BP36" s="74"/>
      <c r="BQ36" s="147"/>
      <c r="BR36" s="147"/>
      <c r="BS36" s="74"/>
      <c r="BT36" s="73"/>
      <c r="BU36" s="73"/>
      <c r="BV36" s="145"/>
      <c r="BW36" s="145"/>
      <c r="BX36" s="145"/>
      <c r="BY36" s="145"/>
      <c r="BZ36" s="145"/>
      <c r="CA36" s="145"/>
    </row>
    <row r="37" spans="1:79" ht="15" customHeight="1">
      <c r="A37" s="158" t="s">
        <v>245</v>
      </c>
      <c r="B37" s="124" t="s">
        <v>209</v>
      </c>
      <c r="C37" s="124" t="str">
        <f>IF($B$1=1,B37,A37)</f>
        <v>Reserve vedr. finansielle aktiver disponible for salg</v>
      </c>
      <c r="D37" s="267">
        <v>102</v>
      </c>
      <c r="E37" s="267">
        <v>190</v>
      </c>
      <c r="F37" s="267">
        <v>272</v>
      </c>
      <c r="G37" s="267">
        <v>192</v>
      </c>
      <c r="H37" s="267">
        <v>90</v>
      </c>
      <c r="I37" s="267">
        <v>127</v>
      </c>
      <c r="J37" s="267">
        <v>137</v>
      </c>
      <c r="K37" s="267">
        <v>126</v>
      </c>
      <c r="L37" s="267">
        <v>130</v>
      </c>
      <c r="M37" s="267">
        <v>236</v>
      </c>
      <c r="N37" s="267">
        <v>256</v>
      </c>
      <c r="O37" s="267">
        <v>259</v>
      </c>
      <c r="P37" s="267">
        <v>187</v>
      </c>
      <c r="Q37" s="267">
        <v>115</v>
      </c>
      <c r="R37" s="267">
        <v>72</v>
      </c>
      <c r="S37" s="267">
        <v>22</v>
      </c>
      <c r="T37" s="267">
        <v>-401</v>
      </c>
      <c r="U37" s="267">
        <v>-437</v>
      </c>
      <c r="V37" s="267">
        <v>-353</v>
      </c>
      <c r="W37" s="267">
        <v>-312</v>
      </c>
      <c r="X37" s="267">
        <v>-316</v>
      </c>
      <c r="Y37" s="267">
        <v>-273</v>
      </c>
      <c r="Z37" s="267">
        <v>-407</v>
      </c>
      <c r="AA37" s="267">
        <v>-387</v>
      </c>
      <c r="AB37" s="191">
        <v>-562</v>
      </c>
      <c r="AC37" s="191">
        <v>-778</v>
      </c>
      <c r="AD37" s="191">
        <v>-906</v>
      </c>
      <c r="AE37" s="191">
        <v>-1199</v>
      </c>
      <c r="AF37" s="191">
        <v>-1523</v>
      </c>
      <c r="AG37" s="191">
        <v>-1701</v>
      </c>
      <c r="AH37" s="191">
        <v>-2036</v>
      </c>
      <c r="AI37" s="191">
        <v>-1772</v>
      </c>
      <c r="AJ37" s="191">
        <v>-2253</v>
      </c>
      <c r="AK37" s="191">
        <v>-1766</v>
      </c>
      <c r="AL37" s="191">
        <v>-1572</v>
      </c>
      <c r="AM37" s="191">
        <v>-1303</v>
      </c>
      <c r="AN37" s="191">
        <v>-1330</v>
      </c>
      <c r="AO37" s="191">
        <v>-1170</v>
      </c>
      <c r="AP37" s="191">
        <v>-1281</v>
      </c>
      <c r="AQ37" s="191">
        <v>-997</v>
      </c>
      <c r="AR37" s="191">
        <v>-1229</v>
      </c>
      <c r="AS37" s="191">
        <v>-662</v>
      </c>
      <c r="AT37" s="191">
        <v>-1682</v>
      </c>
      <c r="AU37" s="191">
        <v>-2554</v>
      </c>
      <c r="AV37" s="191">
        <v>-1937</v>
      </c>
      <c r="AW37" s="191">
        <v>0</v>
      </c>
      <c r="AX37" s="191">
        <v>0</v>
      </c>
      <c r="AY37" s="191">
        <v>0</v>
      </c>
      <c r="AZ37" s="191">
        <v>0</v>
      </c>
      <c r="BA37" s="191">
        <v>0</v>
      </c>
      <c r="BB37" s="191">
        <v>0</v>
      </c>
      <c r="BC37" s="191">
        <v>0</v>
      </c>
      <c r="BD37" s="191">
        <v>0</v>
      </c>
      <c r="BE37" s="176">
        <v>0</v>
      </c>
      <c r="BF37" s="37">
        <v>0</v>
      </c>
      <c r="BG37" s="37">
        <v>0</v>
      </c>
      <c r="BH37" s="37">
        <v>0</v>
      </c>
      <c r="BI37" s="37">
        <v>0</v>
      </c>
      <c r="BJ37" s="37">
        <v>0</v>
      </c>
      <c r="BK37" s="37">
        <v>0</v>
      </c>
      <c r="BL37" s="37">
        <v>0</v>
      </c>
      <c r="BM37" s="37">
        <v>0</v>
      </c>
      <c r="BN37" s="37">
        <v>0</v>
      </c>
      <c r="BO37" s="37">
        <v>0</v>
      </c>
      <c r="BP37" s="74"/>
      <c r="BQ37" s="147"/>
      <c r="BR37" s="147"/>
      <c r="BS37" s="74"/>
      <c r="BT37" s="73"/>
      <c r="BU37" s="73"/>
      <c r="BV37" s="145"/>
      <c r="BW37" s="145"/>
      <c r="BX37" s="145"/>
      <c r="BY37" s="145"/>
      <c r="BZ37" s="145"/>
      <c r="CA37" s="145"/>
    </row>
    <row r="38" spans="1:79" s="154" customFormat="1" ht="15" customHeight="1">
      <c r="A38" s="158" t="s">
        <v>191</v>
      </c>
      <c r="B38" s="27" t="s">
        <v>138</v>
      </c>
      <c r="C38" s="124" t="str">
        <f t="shared" si="6"/>
        <v>Foreslået udbytte</v>
      </c>
      <c r="D38" s="267">
        <v>7329</v>
      </c>
      <c r="E38" s="267">
        <v>0</v>
      </c>
      <c r="F38" s="267">
        <v>0</v>
      </c>
      <c r="G38" s="267">
        <v>0</v>
      </c>
      <c r="H38" s="267">
        <v>7616</v>
      </c>
      <c r="I38" s="267">
        <v>0</v>
      </c>
      <c r="J38" s="267">
        <v>0</v>
      </c>
      <c r="K38" s="267">
        <v>0</v>
      </c>
      <c r="L38" s="267">
        <v>9368</v>
      </c>
      <c r="M38" s="267">
        <v>0</v>
      </c>
      <c r="N38" s="267">
        <v>0</v>
      </c>
      <c r="O38" s="267">
        <v>0</v>
      </c>
      <c r="P38" s="267">
        <v>8853</v>
      </c>
      <c r="Q38" s="267">
        <v>0</v>
      </c>
      <c r="R38" s="267">
        <v>0</v>
      </c>
      <c r="S38" s="267">
        <v>0</v>
      </c>
      <c r="T38" s="267">
        <v>8069</v>
      </c>
      <c r="U38" s="267">
        <v>0</v>
      </c>
      <c r="V38" s="267">
        <v>0</v>
      </c>
      <c r="W38" s="267">
        <v>0</v>
      </c>
      <c r="X38" s="267">
        <v>5547</v>
      </c>
      <c r="Y38" s="267">
        <v>0</v>
      </c>
      <c r="Z38" s="267">
        <v>0</v>
      </c>
      <c r="AA38" s="267">
        <v>0</v>
      </c>
      <c r="AB38" s="191">
        <v>2017</v>
      </c>
      <c r="AC38" s="191">
        <v>0</v>
      </c>
      <c r="AD38" s="191">
        <v>0</v>
      </c>
      <c r="AE38" s="191">
        <v>0</v>
      </c>
      <c r="AF38" s="191">
        <v>0</v>
      </c>
      <c r="AG38" s="191">
        <v>0</v>
      </c>
      <c r="AH38" s="191">
        <v>0</v>
      </c>
      <c r="AI38" s="191">
        <v>0</v>
      </c>
      <c r="AJ38" s="191">
        <v>0</v>
      </c>
      <c r="AK38" s="191">
        <v>0</v>
      </c>
      <c r="AL38" s="191">
        <v>0</v>
      </c>
      <c r="AM38" s="191">
        <v>0</v>
      </c>
      <c r="AN38" s="191">
        <v>0</v>
      </c>
      <c r="AO38" s="191">
        <v>0</v>
      </c>
      <c r="AP38" s="191">
        <v>0</v>
      </c>
      <c r="AQ38" s="191">
        <v>0</v>
      </c>
      <c r="AR38" s="191">
        <v>0</v>
      </c>
      <c r="AS38" s="191">
        <v>0</v>
      </c>
      <c r="AT38" s="191">
        <v>0</v>
      </c>
      <c r="AU38" s="191">
        <v>0</v>
      </c>
      <c r="AV38" s="191">
        <v>0</v>
      </c>
      <c r="AW38" s="191">
        <v>0</v>
      </c>
      <c r="AX38" s="191">
        <v>0</v>
      </c>
      <c r="AY38" s="191">
        <v>0</v>
      </c>
      <c r="AZ38" s="191">
        <v>5940</v>
      </c>
      <c r="BA38" s="191">
        <v>0</v>
      </c>
      <c r="BB38" s="191">
        <v>0</v>
      </c>
      <c r="BC38" s="191">
        <v>0</v>
      </c>
      <c r="BD38" s="191">
        <v>5416</v>
      </c>
      <c r="BE38" s="176">
        <v>0</v>
      </c>
      <c r="BF38" s="37">
        <v>0</v>
      </c>
      <c r="BG38" s="37">
        <v>0</v>
      </c>
      <c r="BH38" s="37">
        <v>6383</v>
      </c>
      <c r="BI38" s="37">
        <v>0</v>
      </c>
      <c r="BJ38" s="37">
        <v>0</v>
      </c>
      <c r="BK38" s="37">
        <v>0</v>
      </c>
      <c r="BL38" s="37">
        <v>5010</v>
      </c>
      <c r="BM38" s="37">
        <v>0</v>
      </c>
      <c r="BN38" s="37">
        <v>0</v>
      </c>
      <c r="BO38" s="37">
        <v>0</v>
      </c>
      <c r="BP38" s="150"/>
      <c r="BQ38" s="151"/>
      <c r="BR38" s="151"/>
      <c r="BS38" s="150"/>
      <c r="BT38" s="152"/>
      <c r="BU38" s="152"/>
      <c r="BV38" s="153"/>
      <c r="BW38" s="153"/>
      <c r="BX38" s="153"/>
      <c r="BY38" s="153"/>
      <c r="BZ38" s="153"/>
      <c r="CA38" s="153"/>
    </row>
    <row r="39" spans="1:79" ht="15" customHeight="1">
      <c r="A39" s="158" t="s">
        <v>246</v>
      </c>
      <c r="B39" s="27" t="s">
        <v>248</v>
      </c>
      <c r="C39" s="124" t="str">
        <f t="shared" si="6"/>
        <v>Overført overskud</v>
      </c>
      <c r="D39" s="267">
        <v>140590</v>
      </c>
      <c r="E39" s="267">
        <v>142994</v>
      </c>
      <c r="F39" s="267">
        <v>140188</v>
      </c>
      <c r="G39" s="267">
        <v>135981</v>
      </c>
      <c r="H39" s="267">
        <v>133056</v>
      </c>
      <c r="I39" s="267">
        <v>137836</v>
      </c>
      <c r="J39" s="267">
        <v>138232</v>
      </c>
      <c r="K39" s="267">
        <v>136387</v>
      </c>
      <c r="L39" s="267">
        <f>145099-L38</f>
        <v>135731</v>
      </c>
      <c r="M39" s="267">
        <v>141995</v>
      </c>
      <c r="N39" s="267">
        <v>139590</v>
      </c>
      <c r="O39" s="267">
        <v>136690</v>
      </c>
      <c r="P39" s="267">
        <v>134028</v>
      </c>
      <c r="Q39" s="267">
        <v>139448</v>
      </c>
      <c r="R39" s="267">
        <v>137476</v>
      </c>
      <c r="S39" s="267">
        <v>135121</v>
      </c>
      <c r="T39" s="267">
        <v>132352</v>
      </c>
      <c r="U39" s="267">
        <v>141040</v>
      </c>
      <c r="V39" s="267">
        <v>139587</v>
      </c>
      <c r="W39" s="267">
        <v>136666</v>
      </c>
      <c r="X39" s="267">
        <v>131868</v>
      </c>
      <c r="Y39" s="267">
        <v>142680</v>
      </c>
      <c r="Z39" s="267">
        <v>140053</v>
      </c>
      <c r="AA39" s="267">
        <v>135917</v>
      </c>
      <c r="AB39" s="191">
        <v>134393</v>
      </c>
      <c r="AC39" s="191">
        <v>134250</v>
      </c>
      <c r="AD39" s="191">
        <v>132681</v>
      </c>
      <c r="AE39" s="191">
        <v>130877</v>
      </c>
      <c r="AF39" s="191">
        <v>129632</v>
      </c>
      <c r="AG39" s="191">
        <v>121558</v>
      </c>
      <c r="AH39" s="191">
        <v>120859</v>
      </c>
      <c r="AI39" s="191">
        <v>120222</v>
      </c>
      <c r="AJ39" s="191">
        <v>118917</v>
      </c>
      <c r="AK39" s="191">
        <v>118322</v>
      </c>
      <c r="AL39" s="191">
        <v>118404</v>
      </c>
      <c r="AM39" s="191">
        <v>99995</v>
      </c>
      <c r="AN39" s="191">
        <v>99205</v>
      </c>
      <c r="AO39" s="191">
        <v>97883</v>
      </c>
      <c r="AP39" s="191">
        <v>97139</v>
      </c>
      <c r="AQ39" s="191">
        <v>95922</v>
      </c>
      <c r="AR39" s="191">
        <v>95084</v>
      </c>
      <c r="AS39" s="191">
        <v>94231</v>
      </c>
      <c r="AT39" s="191">
        <v>94278</v>
      </c>
      <c r="AU39" s="191">
        <v>95249</v>
      </c>
      <c r="AV39" s="191">
        <v>93464</v>
      </c>
      <c r="AW39" s="191">
        <v>99155</v>
      </c>
      <c r="AX39" s="191">
        <v>97795</v>
      </c>
      <c r="AY39" s="191">
        <v>94108</v>
      </c>
      <c r="AZ39" s="191">
        <v>91325</v>
      </c>
      <c r="BA39" s="191">
        <v>94223</v>
      </c>
      <c r="BB39" s="191">
        <v>90415</v>
      </c>
      <c r="BC39" s="191">
        <v>86645</v>
      </c>
      <c r="BD39" s="191">
        <v>82713</v>
      </c>
      <c r="BE39" s="176">
        <v>70440</v>
      </c>
      <c r="BF39" s="37">
        <v>67029</v>
      </c>
      <c r="BG39" s="37">
        <v>63933</v>
      </c>
      <c r="BH39" s="37">
        <v>61288</v>
      </c>
      <c r="BI39" s="37">
        <v>64004</v>
      </c>
      <c r="BJ39" s="37">
        <v>61237</v>
      </c>
      <c r="BK39" s="37">
        <v>57752</v>
      </c>
      <c r="BL39" s="37">
        <v>55005</v>
      </c>
      <c r="BM39" s="37">
        <v>58148</v>
      </c>
      <c r="BN39" s="37">
        <v>57074</v>
      </c>
      <c r="BO39" s="37">
        <v>56687</v>
      </c>
      <c r="BP39" s="74"/>
      <c r="BQ39" s="147"/>
      <c r="BR39" s="147"/>
      <c r="BS39" s="74"/>
      <c r="BT39" s="73"/>
      <c r="BU39" s="73"/>
      <c r="BV39" s="145"/>
      <c r="BW39" s="145"/>
      <c r="BX39" s="145"/>
      <c r="BY39" s="145"/>
      <c r="BZ39" s="145"/>
      <c r="CA39" s="145"/>
    </row>
    <row r="40" spans="1:79" ht="15" customHeight="1">
      <c r="A40" s="158" t="s">
        <v>300</v>
      </c>
      <c r="B40" s="27" t="s">
        <v>301</v>
      </c>
      <c r="C40" s="124" t="str">
        <f t="shared" si="6"/>
        <v>Indehavere af hybrid kernekapitalinstrumenter</v>
      </c>
      <c r="D40" s="267">
        <v>14237</v>
      </c>
      <c r="E40" s="267">
        <v>14400</v>
      </c>
      <c r="F40" s="267">
        <v>14239</v>
      </c>
      <c r="G40" s="267">
        <v>14421</v>
      </c>
      <c r="H40" s="267">
        <v>14299</v>
      </c>
      <c r="I40" s="267">
        <v>14404</v>
      </c>
      <c r="J40" s="267">
        <v>14340</v>
      </c>
      <c r="K40" s="267">
        <v>14462</v>
      </c>
      <c r="L40" s="267">
        <v>14339</v>
      </c>
      <c r="M40" s="267">
        <v>14435</v>
      </c>
      <c r="N40" s="267">
        <v>14334</v>
      </c>
      <c r="O40" s="267">
        <v>14389</v>
      </c>
      <c r="P40" s="267">
        <v>14343</v>
      </c>
      <c r="Q40" s="267">
        <v>11460</v>
      </c>
      <c r="R40" s="267">
        <v>11308</v>
      </c>
      <c r="S40" s="267">
        <v>11433</v>
      </c>
      <c r="T40" s="267">
        <v>11317</v>
      </c>
      <c r="U40" s="267">
        <v>11497</v>
      </c>
      <c r="V40" s="267">
        <v>11340</v>
      </c>
      <c r="W40" s="267">
        <v>11374</v>
      </c>
      <c r="X40" s="267">
        <v>5673</v>
      </c>
      <c r="Y40" s="267">
        <v>5734</v>
      </c>
      <c r="Z40" s="267">
        <v>5666</v>
      </c>
      <c r="AA40" s="267">
        <v>5575</v>
      </c>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76"/>
      <c r="BF40" s="37"/>
      <c r="BG40" s="37"/>
      <c r="BH40" s="37"/>
      <c r="BI40" s="37"/>
      <c r="BJ40" s="37"/>
      <c r="BK40" s="37"/>
      <c r="BL40" s="37"/>
      <c r="BM40" s="37"/>
      <c r="BN40" s="37"/>
      <c r="BO40" s="37"/>
      <c r="BP40" s="74"/>
      <c r="BQ40" s="147"/>
      <c r="BR40" s="147"/>
      <c r="BS40" s="74"/>
      <c r="BT40" s="73"/>
      <c r="BU40" s="73"/>
      <c r="BV40" s="145"/>
      <c r="BW40" s="145"/>
      <c r="BX40" s="145"/>
      <c r="BY40" s="145"/>
      <c r="BZ40" s="145"/>
      <c r="CA40" s="145"/>
    </row>
    <row r="41" spans="1:79" ht="15" customHeight="1">
      <c r="A41" s="158" t="s">
        <v>134</v>
      </c>
      <c r="B41" s="27" t="s">
        <v>4</v>
      </c>
      <c r="C41" s="124" t="str">
        <f t="shared" si="6"/>
        <v>Minoritetsinteresser</v>
      </c>
      <c r="D41" s="267">
        <v>0</v>
      </c>
      <c r="E41" s="267">
        <v>0</v>
      </c>
      <c r="F41" s="267">
        <v>0</v>
      </c>
      <c r="G41" s="267">
        <v>0</v>
      </c>
      <c r="H41" s="267">
        <v>0</v>
      </c>
      <c r="I41" s="267">
        <v>0</v>
      </c>
      <c r="J41" s="267">
        <v>0</v>
      </c>
      <c r="K41" s="267">
        <v>0</v>
      </c>
      <c r="L41" s="267">
        <v>0</v>
      </c>
      <c r="M41" s="267">
        <v>0</v>
      </c>
      <c r="N41" s="267">
        <v>0</v>
      </c>
      <c r="O41" s="267">
        <v>0</v>
      </c>
      <c r="P41" s="267">
        <v>0</v>
      </c>
      <c r="Q41" s="267">
        <v>0</v>
      </c>
      <c r="R41" s="267">
        <v>0</v>
      </c>
      <c r="S41" s="267">
        <v>0</v>
      </c>
      <c r="T41" s="267">
        <v>0</v>
      </c>
      <c r="U41" s="267">
        <v>0</v>
      </c>
      <c r="V41" s="267">
        <v>0</v>
      </c>
      <c r="W41" s="267">
        <v>1</v>
      </c>
      <c r="X41" s="267">
        <v>2</v>
      </c>
      <c r="Y41" s="267">
        <v>2</v>
      </c>
      <c r="Z41" s="267">
        <v>2</v>
      </c>
      <c r="AA41" s="267">
        <v>0</v>
      </c>
      <c r="AB41" s="191">
        <v>0</v>
      </c>
      <c r="AC41" s="191">
        <v>0</v>
      </c>
      <c r="AD41" s="191">
        <v>0</v>
      </c>
      <c r="AE41" s="191">
        <v>0</v>
      </c>
      <c r="AF41" s="191">
        <v>4</v>
      </c>
      <c r="AG41" s="191">
        <v>4</v>
      </c>
      <c r="AH41" s="191">
        <v>0</v>
      </c>
      <c r="AI41" s="191">
        <v>49</v>
      </c>
      <c r="AJ41" s="191">
        <v>60</v>
      </c>
      <c r="AK41" s="191">
        <v>55</v>
      </c>
      <c r="AL41" s="191">
        <v>53</v>
      </c>
      <c r="AM41" s="191">
        <v>29</v>
      </c>
      <c r="AN41" s="191">
        <v>15</v>
      </c>
      <c r="AO41" s="191">
        <v>0</v>
      </c>
      <c r="AP41" s="191">
        <v>0</v>
      </c>
      <c r="AQ41" s="191">
        <v>0</v>
      </c>
      <c r="AR41" s="191">
        <v>0</v>
      </c>
      <c r="AS41" s="191">
        <v>0</v>
      </c>
      <c r="AT41" s="191">
        <v>0</v>
      </c>
      <c r="AU41" s="191">
        <v>0</v>
      </c>
      <c r="AV41" s="191">
        <v>22</v>
      </c>
      <c r="AW41" s="191">
        <v>38</v>
      </c>
      <c r="AX41" s="191">
        <v>33</v>
      </c>
      <c r="AY41" s="191">
        <v>33</v>
      </c>
      <c r="AZ41" s="191">
        <v>132</v>
      </c>
      <c r="BA41" s="191">
        <v>136</v>
      </c>
      <c r="BB41" s="191">
        <v>73</v>
      </c>
      <c r="BC41" s="191">
        <v>51</v>
      </c>
      <c r="BD41" s="191">
        <v>46</v>
      </c>
      <c r="BE41" s="176">
        <v>47</v>
      </c>
      <c r="BF41" s="37">
        <v>49</v>
      </c>
      <c r="BG41" s="37">
        <v>49</v>
      </c>
      <c r="BH41" s="37">
        <v>47</v>
      </c>
      <c r="BI41" s="37">
        <v>44</v>
      </c>
      <c r="BJ41" s="37">
        <v>45</v>
      </c>
      <c r="BK41" s="37">
        <v>262</v>
      </c>
      <c r="BL41" s="37">
        <v>267</v>
      </c>
      <c r="BM41" s="37">
        <v>267</v>
      </c>
      <c r="BN41" s="37">
        <v>269</v>
      </c>
      <c r="BO41" s="37">
        <v>263</v>
      </c>
      <c r="BP41" s="73"/>
      <c r="BQ41" s="73"/>
      <c r="BR41" s="73"/>
      <c r="BS41" s="73"/>
      <c r="BT41" s="73"/>
      <c r="BU41" s="73"/>
      <c r="BV41" s="145"/>
      <c r="BW41" s="145"/>
      <c r="BX41" s="145"/>
      <c r="BY41" s="145"/>
      <c r="BZ41" s="145"/>
      <c r="CA41" s="145"/>
    </row>
    <row r="42" spans="1:79" s="154" customFormat="1" ht="15" customHeight="1">
      <c r="A42" s="158" t="s">
        <v>315</v>
      </c>
      <c r="B42" s="27" t="s">
        <v>82</v>
      </c>
      <c r="C42" s="124" t="str">
        <f t="shared" si="6"/>
        <v>Egenkapital i alt</v>
      </c>
      <c r="D42" s="267">
        <v>170508</v>
      </c>
      <c r="E42" s="267">
        <v>165464</v>
      </c>
      <c r="F42" s="267">
        <v>162988</v>
      </c>
      <c r="G42" s="267">
        <v>158577</v>
      </c>
      <c r="H42" s="267">
        <v>163276</v>
      </c>
      <c r="I42" s="267">
        <v>160703</v>
      </c>
      <c r="J42" s="267">
        <v>160897</v>
      </c>
      <c r="K42" s="267">
        <v>159637</v>
      </c>
      <c r="L42" s="267">
        <v>168256</v>
      </c>
      <c r="M42" s="267">
        <v>165380</v>
      </c>
      <c r="N42" s="267">
        <v>162898</v>
      </c>
      <c r="O42" s="267">
        <v>160538</v>
      </c>
      <c r="P42" s="267">
        <v>166615</v>
      </c>
      <c r="Q42" s="267">
        <v>160266</v>
      </c>
      <c r="R42" s="267">
        <v>158089</v>
      </c>
      <c r="S42" s="267">
        <v>156105</v>
      </c>
      <c r="T42" s="267">
        <v>160830</v>
      </c>
      <c r="U42" s="267">
        <v>161598</v>
      </c>
      <c r="V42" s="267">
        <v>160055</v>
      </c>
      <c r="W42" s="267">
        <v>157226</v>
      </c>
      <c r="X42" s="267">
        <v>152384</v>
      </c>
      <c r="Y42" s="267">
        <v>157967</v>
      </c>
      <c r="Z42" s="267">
        <v>155138</v>
      </c>
      <c r="AA42" s="267">
        <v>150937</v>
      </c>
      <c r="AB42" s="191">
        <v>145657</v>
      </c>
      <c r="AC42" s="191">
        <v>143317</v>
      </c>
      <c r="AD42" s="191">
        <v>141624</v>
      </c>
      <c r="AE42" s="191">
        <v>139568</v>
      </c>
      <c r="AF42" s="191">
        <v>138004</v>
      </c>
      <c r="AG42" s="191">
        <v>128949</v>
      </c>
      <c r="AH42" s="191">
        <v>127827</v>
      </c>
      <c r="AI42" s="191">
        <v>127587</v>
      </c>
      <c r="AJ42" s="191">
        <v>125855</v>
      </c>
      <c r="AK42" s="191">
        <v>125670</v>
      </c>
      <c r="AL42" s="191">
        <f>SUM(AL35:AL41)</f>
        <v>125968</v>
      </c>
      <c r="AM42" s="191">
        <f>SUM(AM35:AM41)</f>
        <v>105493</v>
      </c>
      <c r="AN42" s="191">
        <v>104742</v>
      </c>
      <c r="AO42" s="191">
        <v>103509</v>
      </c>
      <c r="AP42" s="191">
        <v>102645</v>
      </c>
      <c r="AQ42" s="191">
        <v>101649</v>
      </c>
      <c r="AR42" s="191">
        <v>100659</v>
      </c>
      <c r="AS42" s="191">
        <v>100348</v>
      </c>
      <c r="AT42" s="191">
        <v>99417</v>
      </c>
      <c r="AU42" s="191">
        <f>SUM(AU35:AU41)</f>
        <v>99507</v>
      </c>
      <c r="AV42" s="191">
        <f>SUM(AV35:AV41)</f>
        <v>98247</v>
      </c>
      <c r="AW42" s="191">
        <f>SUM(AW35:AW41)</f>
        <v>106147</v>
      </c>
      <c r="AX42" s="191">
        <v>104805</v>
      </c>
      <c r="AY42" s="191">
        <v>101124</v>
      </c>
      <c r="AZ42" s="191">
        <v>104355</v>
      </c>
      <c r="BA42" s="191">
        <v>101350</v>
      </c>
      <c r="BB42" s="191">
        <v>97479</v>
      </c>
      <c r="BC42" s="191">
        <v>93688</v>
      </c>
      <c r="BD42" s="191">
        <v>95172</v>
      </c>
      <c r="BE42" s="176">
        <v>76879</v>
      </c>
      <c r="BF42" s="176">
        <f aca="true" t="shared" si="9" ref="BF42:BO42">SUM(BF35:BF41)</f>
        <v>73462</v>
      </c>
      <c r="BG42" s="176">
        <f t="shared" si="9"/>
        <v>70351</v>
      </c>
      <c r="BH42" s="176">
        <f t="shared" si="9"/>
        <v>74089</v>
      </c>
      <c r="BI42" s="176">
        <f t="shared" si="9"/>
        <v>70426</v>
      </c>
      <c r="BJ42" s="176">
        <f t="shared" si="9"/>
        <v>67655</v>
      </c>
      <c r="BK42" s="176">
        <f t="shared" si="9"/>
        <v>64706</v>
      </c>
      <c r="BL42" s="176">
        <f t="shared" si="9"/>
        <v>66973</v>
      </c>
      <c r="BM42" s="176">
        <f t="shared" si="9"/>
        <v>65133</v>
      </c>
      <c r="BN42" s="176">
        <f t="shared" si="9"/>
        <v>64068</v>
      </c>
      <c r="BO42" s="176">
        <f t="shared" si="9"/>
        <v>64072</v>
      </c>
      <c r="BP42" s="206"/>
      <c r="BQ42" s="152"/>
      <c r="BR42" s="152"/>
      <c r="BS42" s="152"/>
      <c r="BT42" s="152"/>
      <c r="BU42" s="152"/>
      <c r="BV42" s="153"/>
      <c r="BW42" s="153"/>
      <c r="BX42" s="153"/>
      <c r="BY42" s="153"/>
      <c r="BZ42" s="153"/>
      <c r="CA42" s="153"/>
    </row>
    <row r="43" spans="1:79" s="154" customFormat="1" ht="15" customHeight="1">
      <c r="A43" s="158" t="s">
        <v>184</v>
      </c>
      <c r="B43" s="27" t="s">
        <v>212</v>
      </c>
      <c r="C43" s="155" t="str">
        <f t="shared" si="6"/>
        <v>Forpligtelser og egenkapital i alt</v>
      </c>
      <c r="D43" s="263">
        <v>3761050</v>
      </c>
      <c r="E43" s="263">
        <v>3962718</v>
      </c>
      <c r="F43" s="263">
        <v>3778409</v>
      </c>
      <c r="G43" s="263">
        <v>3714914</v>
      </c>
      <c r="H43" s="263">
        <v>3578467</v>
      </c>
      <c r="I43" s="263">
        <v>3673028</v>
      </c>
      <c r="J43" s="263">
        <v>3706419</v>
      </c>
      <c r="K43" s="263">
        <v>3538555</v>
      </c>
      <c r="L43" s="263">
        <v>3539528</v>
      </c>
      <c r="M43" s="263">
        <v>3547785</v>
      </c>
      <c r="N43" s="263">
        <v>3572717</v>
      </c>
      <c r="O43" s="263">
        <v>3543540</v>
      </c>
      <c r="P43" s="263">
        <v>3483670</v>
      </c>
      <c r="Q43" s="263">
        <v>3548569</v>
      </c>
      <c r="R43" s="263">
        <v>3483327</v>
      </c>
      <c r="S43" s="263">
        <v>3388518</v>
      </c>
      <c r="T43" s="263">
        <v>3292878</v>
      </c>
      <c r="U43" s="263">
        <v>3348051</v>
      </c>
      <c r="V43" s="263">
        <v>3452213</v>
      </c>
      <c r="W43" s="263">
        <v>3671158</v>
      </c>
      <c r="X43" s="263">
        <v>3453015</v>
      </c>
      <c r="Y43" s="263">
        <f>Y42+Y33</f>
        <v>3437294</v>
      </c>
      <c r="Z43" s="263">
        <f aca="true" t="shared" si="10" ref="Z43:AN43">Z42+Z33</f>
        <v>3273485</v>
      </c>
      <c r="AA43" s="263">
        <f t="shared" si="10"/>
        <v>3314218</v>
      </c>
      <c r="AB43" s="223">
        <f t="shared" si="10"/>
        <v>3227057</v>
      </c>
      <c r="AC43" s="223">
        <f t="shared" si="10"/>
        <v>3268230</v>
      </c>
      <c r="AD43" s="223">
        <f t="shared" si="10"/>
        <v>3317104</v>
      </c>
      <c r="AE43" s="223">
        <f t="shared" si="10"/>
        <v>3500998</v>
      </c>
      <c r="AF43" s="223">
        <f t="shared" si="10"/>
        <v>3484949</v>
      </c>
      <c r="AG43" s="223">
        <f t="shared" si="10"/>
        <v>3598106</v>
      </c>
      <c r="AH43" s="238">
        <f t="shared" si="10"/>
        <v>3480348</v>
      </c>
      <c r="AI43" s="238">
        <f t="shared" si="10"/>
        <v>3501418</v>
      </c>
      <c r="AJ43" s="238">
        <f t="shared" si="10"/>
        <v>3424403</v>
      </c>
      <c r="AK43" s="238">
        <f t="shared" si="10"/>
        <v>3381024</v>
      </c>
      <c r="AL43" s="238">
        <f t="shared" si="10"/>
        <v>3127061</v>
      </c>
      <c r="AM43" s="238">
        <f t="shared" si="10"/>
        <v>3125881</v>
      </c>
      <c r="AN43" s="234">
        <f t="shared" si="10"/>
        <v>3213886</v>
      </c>
      <c r="AO43" s="185">
        <v>3361116</v>
      </c>
      <c r="AP43" s="185">
        <v>3363983</v>
      </c>
      <c r="AQ43" s="185">
        <v>3208511</v>
      </c>
      <c r="AR43" s="185">
        <v>3098477</v>
      </c>
      <c r="AS43" s="185">
        <v>3298302</v>
      </c>
      <c r="AT43" s="185">
        <v>3239551</v>
      </c>
      <c r="AU43" s="185">
        <f>AU33+AU42</f>
        <v>3343633</v>
      </c>
      <c r="AV43" s="185">
        <f>AV33+AV42</f>
        <v>3543974</v>
      </c>
      <c r="AW43" s="185">
        <f>AW33+AW42</f>
        <v>3515851</v>
      </c>
      <c r="AX43" s="185">
        <v>3491775</v>
      </c>
      <c r="AY43" s="185">
        <v>3443405</v>
      </c>
      <c r="AZ43" s="185">
        <v>3349530</v>
      </c>
      <c r="BA43" s="185">
        <v>3194762</v>
      </c>
      <c r="BB43" s="185">
        <v>3071854</v>
      </c>
      <c r="BC43" s="185">
        <v>2951147</v>
      </c>
      <c r="BD43" s="185">
        <v>2739361</v>
      </c>
      <c r="BE43" s="180">
        <f>BE33+BE42</f>
        <v>2653070</v>
      </c>
      <c r="BF43" s="180">
        <f aca="true" t="shared" si="11" ref="BF43:BO43">BF33+BF42</f>
        <v>2512528</v>
      </c>
      <c r="BG43" s="180">
        <f>BG33+BG42</f>
        <v>2391708</v>
      </c>
      <c r="BH43" s="180">
        <f t="shared" si="11"/>
        <v>2431988</v>
      </c>
      <c r="BI43" s="180">
        <f t="shared" si="11"/>
        <v>2398890</v>
      </c>
      <c r="BJ43" s="180">
        <f t="shared" si="11"/>
        <v>2433286</v>
      </c>
      <c r="BK43" s="180">
        <f t="shared" si="11"/>
        <v>2271155</v>
      </c>
      <c r="BL43" s="180">
        <f t="shared" si="11"/>
        <v>2052507</v>
      </c>
      <c r="BM43" s="180">
        <f t="shared" si="11"/>
        <v>1987070</v>
      </c>
      <c r="BN43" s="180">
        <f t="shared" si="11"/>
        <v>1887839</v>
      </c>
      <c r="BO43" s="180">
        <f t="shared" si="11"/>
        <v>1917329</v>
      </c>
      <c r="BP43" s="206"/>
      <c r="BQ43" s="152"/>
      <c r="BR43" s="152"/>
      <c r="BS43" s="152"/>
      <c r="BT43" s="152"/>
      <c r="BU43" s="152"/>
      <c r="BV43" s="153"/>
      <c r="BW43" s="153"/>
      <c r="BX43" s="153"/>
      <c r="BY43" s="153"/>
      <c r="BZ43" s="153"/>
      <c r="CA43" s="153"/>
    </row>
    <row r="44" spans="1:79" ht="15" customHeight="1">
      <c r="A44" s="158" t="s">
        <v>247</v>
      </c>
      <c r="B44" s="27" t="s">
        <v>249</v>
      </c>
      <c r="C44" s="155" t="str">
        <f t="shared" si="6"/>
        <v>Risikovægtede aktiver, ultimo</v>
      </c>
      <c r="D44" s="263">
        <v>767177</v>
      </c>
      <c r="E44" s="263">
        <v>782059</v>
      </c>
      <c r="F44" s="263">
        <v>761897</v>
      </c>
      <c r="G44" s="263">
        <v>758365</v>
      </c>
      <c r="H44" s="263">
        <v>748104</v>
      </c>
      <c r="I44" s="263">
        <v>738241</v>
      </c>
      <c r="J44" s="263">
        <v>753986</v>
      </c>
      <c r="K44" s="263">
        <v>755277</v>
      </c>
      <c r="L44" s="263">
        <v>753409</v>
      </c>
      <c r="M44" s="263">
        <v>769133</v>
      </c>
      <c r="N44" s="263">
        <v>778668</v>
      </c>
      <c r="O44" s="263">
        <v>799363</v>
      </c>
      <c r="P44" s="263">
        <v>815249</v>
      </c>
      <c r="Q44" s="263">
        <v>814343</v>
      </c>
      <c r="R44" s="263">
        <v>800329</v>
      </c>
      <c r="S44" s="263">
        <v>841289</v>
      </c>
      <c r="T44" s="263">
        <v>833594</v>
      </c>
      <c r="U44" s="263">
        <v>832074</v>
      </c>
      <c r="V44" s="263">
        <v>892429</v>
      </c>
      <c r="W44" s="263">
        <v>895120</v>
      </c>
      <c r="X44" s="263">
        <v>865086</v>
      </c>
      <c r="Y44" s="263">
        <v>867698</v>
      </c>
      <c r="Z44" s="263">
        <v>886673</v>
      </c>
      <c r="AA44" s="263">
        <v>895875</v>
      </c>
      <c r="AB44" s="223">
        <v>852250</v>
      </c>
      <c r="AC44" s="223">
        <v>867974</v>
      </c>
      <c r="AD44" s="223">
        <v>778848</v>
      </c>
      <c r="AE44" s="223">
        <v>797170</v>
      </c>
      <c r="AF44" s="223">
        <v>819436</v>
      </c>
      <c r="AG44" s="223">
        <v>850674</v>
      </c>
      <c r="AH44" s="238">
        <v>892510</v>
      </c>
      <c r="AI44" s="238">
        <v>900258</v>
      </c>
      <c r="AJ44" s="238">
        <v>905979</v>
      </c>
      <c r="AK44" s="238">
        <v>894790</v>
      </c>
      <c r="AL44" s="238">
        <v>860293</v>
      </c>
      <c r="AM44" s="238">
        <v>855221</v>
      </c>
      <c r="AN44" s="234">
        <v>844209</v>
      </c>
      <c r="AO44" s="185">
        <v>843435</v>
      </c>
      <c r="AP44" s="185">
        <v>879029</v>
      </c>
      <c r="AQ44" s="185">
        <v>837833</v>
      </c>
      <c r="AR44" s="185">
        <v>834242</v>
      </c>
      <c r="AS44" s="185">
        <v>933523</v>
      </c>
      <c r="AT44" s="185">
        <v>960823</v>
      </c>
      <c r="AU44" s="185">
        <v>984406</v>
      </c>
      <c r="AV44" s="185">
        <v>960079</v>
      </c>
      <c r="AW44" s="185">
        <v>927477</v>
      </c>
      <c r="AX44" s="185">
        <v>888354</v>
      </c>
      <c r="AY44" s="185">
        <v>904017</v>
      </c>
      <c r="AZ44" s="185">
        <v>1312906</v>
      </c>
      <c r="BA44" s="185">
        <v>1259820</v>
      </c>
      <c r="BB44" s="185">
        <v>1193507</v>
      </c>
      <c r="BC44" s="185">
        <v>1137443</v>
      </c>
      <c r="BD44" s="185">
        <v>1118990</v>
      </c>
      <c r="BE44" s="180">
        <v>1052684</v>
      </c>
      <c r="BF44" s="156">
        <v>1019453</v>
      </c>
      <c r="BG44" s="156">
        <v>972186</v>
      </c>
      <c r="BH44" s="156">
        <v>944163</v>
      </c>
      <c r="BI44" s="156">
        <v>932750</v>
      </c>
      <c r="BJ44" s="156">
        <v>927064</v>
      </c>
      <c r="BK44" s="156">
        <v>884065</v>
      </c>
      <c r="BL44" s="156">
        <v>808329</v>
      </c>
      <c r="BM44" s="156">
        <v>797447</v>
      </c>
      <c r="BN44" s="156">
        <v>796347</v>
      </c>
      <c r="BO44" s="205">
        <v>803432</v>
      </c>
      <c r="BP44" s="175"/>
      <c r="BQ44" s="73"/>
      <c r="BR44" s="73"/>
      <c r="BS44" s="73"/>
      <c r="BT44" s="73"/>
      <c r="BU44" s="73"/>
      <c r="BV44" s="145"/>
      <c r="BW44" s="145"/>
      <c r="BX44" s="145"/>
      <c r="BY44" s="145"/>
      <c r="BZ44" s="145"/>
      <c r="CA44" s="145"/>
    </row>
    <row r="45" spans="67:71" ht="15" customHeight="1">
      <c r="BO45" s="74"/>
      <c r="BP45" s="74"/>
      <c r="BQ45" s="60"/>
      <c r="BR45" s="22"/>
      <c r="BS45" s="22"/>
    </row>
    <row r="46" spans="1:71" ht="15" customHeight="1">
      <c r="A46" s="134"/>
      <c r="B46" s="133"/>
      <c r="C46" s="254" t="s">
        <v>290</v>
      </c>
      <c r="D46" s="254"/>
      <c r="E46" s="254"/>
      <c r="F46" s="254"/>
      <c r="G46" s="254"/>
      <c r="H46" s="254"/>
      <c r="I46" s="254"/>
      <c r="J46" s="254"/>
      <c r="K46" s="254"/>
      <c r="L46" s="254"/>
      <c r="M46" s="254"/>
      <c r="N46" s="254"/>
      <c r="O46" s="254"/>
      <c r="P46" s="254"/>
      <c r="Q46" s="254"/>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124"/>
      <c r="BB46" s="124"/>
      <c r="BC46" s="124"/>
      <c r="BD46" s="107"/>
      <c r="BE46" s="107"/>
      <c r="BF46" s="107"/>
      <c r="BG46" s="107"/>
      <c r="BH46" s="107"/>
      <c r="BI46" s="107"/>
      <c r="BJ46" s="107"/>
      <c r="BK46" s="107"/>
      <c r="BL46" s="107"/>
      <c r="BM46" s="107"/>
      <c r="BN46" s="74"/>
      <c r="BO46" s="74"/>
      <c r="BP46" s="74"/>
      <c r="BQ46" s="60"/>
      <c r="BR46" s="22"/>
      <c r="BS46" s="22"/>
    </row>
    <row r="47" spans="3:71" ht="15" customHeight="1">
      <c r="C47" s="254" t="s">
        <v>291</v>
      </c>
      <c r="D47" s="254"/>
      <c r="E47" s="254"/>
      <c r="F47" s="254"/>
      <c r="G47" s="254"/>
      <c r="H47" s="254"/>
      <c r="I47" s="254"/>
      <c r="J47" s="254"/>
      <c r="K47" s="254"/>
      <c r="L47" s="254"/>
      <c r="M47" s="254"/>
      <c r="N47" s="254"/>
      <c r="O47" s="254"/>
      <c r="P47" s="254"/>
      <c r="Q47" s="254"/>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124"/>
      <c r="BD47" s="107"/>
      <c r="BE47" s="107"/>
      <c r="BF47" s="107"/>
      <c r="BG47" s="107"/>
      <c r="BH47" s="107"/>
      <c r="BI47" s="107"/>
      <c r="BJ47" s="107"/>
      <c r="BK47" s="107"/>
      <c r="BL47" s="107"/>
      <c r="BM47" s="107"/>
      <c r="BN47" s="74"/>
      <c r="BO47" s="74"/>
      <c r="BP47" s="74"/>
      <c r="BQ47" s="60"/>
      <c r="BR47" s="22"/>
      <c r="BS47" s="22"/>
    </row>
    <row r="48" spans="3:71" ht="15" customHeight="1">
      <c r="C48" s="203" t="s">
        <v>288</v>
      </c>
      <c r="D48" s="203"/>
      <c r="E48" s="203"/>
      <c r="F48" s="203"/>
      <c r="G48" s="203"/>
      <c r="H48" s="203"/>
      <c r="I48" s="203"/>
      <c r="J48" s="203"/>
      <c r="K48" s="203"/>
      <c r="L48" s="203"/>
      <c r="M48" s="203"/>
      <c r="N48" s="203"/>
      <c r="O48" s="203"/>
      <c r="P48" s="203"/>
      <c r="Q48" s="20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F48" s="183"/>
      <c r="BG48" s="33"/>
      <c r="BH48" s="33"/>
      <c r="BI48" s="33"/>
      <c r="BJ48" s="33"/>
      <c r="BK48" s="33"/>
      <c r="BL48" s="70"/>
      <c r="BM48" s="70"/>
      <c r="BN48" s="74"/>
      <c r="BO48" s="74"/>
      <c r="BP48" s="74"/>
      <c r="BQ48" s="22"/>
      <c r="BR48" s="22"/>
      <c r="BS48" s="22"/>
    </row>
    <row r="49" spans="3:71" ht="15" customHeight="1">
      <c r="C49" s="255" t="s">
        <v>289</v>
      </c>
      <c r="D49" s="269"/>
      <c r="E49" s="269"/>
      <c r="F49" s="269"/>
      <c r="G49" s="269"/>
      <c r="H49" s="269"/>
      <c r="I49" s="269"/>
      <c r="J49" s="269"/>
      <c r="K49" s="269"/>
      <c r="L49" s="269"/>
      <c r="M49" s="269"/>
      <c r="N49" s="269"/>
      <c r="O49" s="269"/>
      <c r="P49" s="269"/>
      <c r="Q49" s="269"/>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186"/>
      <c r="BE49" s="186"/>
      <c r="BF49" s="186"/>
      <c r="BG49" s="186"/>
      <c r="BH49" s="186"/>
      <c r="BI49" s="186"/>
      <c r="BJ49" s="186"/>
      <c r="BK49" s="186"/>
      <c r="BL49" s="186"/>
      <c r="BM49" s="186"/>
      <c r="BN49" s="74"/>
      <c r="BO49" s="74"/>
      <c r="BP49" s="74"/>
      <c r="BQ49" s="22"/>
      <c r="BR49" s="22"/>
      <c r="BS49" s="22"/>
    </row>
    <row r="50" spans="3:71"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70"/>
      <c r="BM50" s="70"/>
      <c r="BN50" s="22"/>
      <c r="BO50" s="22"/>
      <c r="BP50" s="22"/>
      <c r="BQ50" s="22"/>
      <c r="BR50" s="22"/>
      <c r="BS50" s="22"/>
    </row>
    <row r="51" spans="3:71" ht="15" customHeight="1">
      <c r="C51" s="203" t="s">
        <v>185</v>
      </c>
      <c r="D51" s="203"/>
      <c r="E51" s="203"/>
      <c r="F51" s="203"/>
      <c r="G51" s="203"/>
      <c r="H51" s="203"/>
      <c r="I51" s="203"/>
      <c r="J51" s="203"/>
      <c r="K51" s="203"/>
      <c r="L51" s="203"/>
      <c r="M51" s="203"/>
      <c r="N51" s="203"/>
      <c r="O51" s="203"/>
      <c r="P51" s="203"/>
      <c r="Q51" s="20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86"/>
      <c r="BM51" s="86"/>
      <c r="BN51" s="22"/>
      <c r="BO51" s="22"/>
      <c r="BP51" s="22"/>
      <c r="BQ51" s="22"/>
      <c r="BR51" s="22"/>
      <c r="BS51" s="22"/>
    </row>
    <row r="52" spans="3:71"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86"/>
      <c r="BM52" s="86"/>
      <c r="BN52" s="22"/>
      <c r="BO52" s="22"/>
      <c r="BP52" s="22"/>
      <c r="BQ52" s="22"/>
      <c r="BR52" s="22"/>
      <c r="BS52" s="22"/>
    </row>
    <row r="53" spans="3:71" ht="15" customHeight="1">
      <c r="C53" s="203" t="s">
        <v>323</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row>
    <row r="54" spans="3:71" ht="15" customHeight="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row>
    <row r="55" spans="3:71" ht="15"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4"/>
      <c r="BM55" s="44"/>
      <c r="BN55" s="22"/>
      <c r="BO55" s="22"/>
      <c r="BP55" s="22"/>
      <c r="BQ55" s="22"/>
      <c r="BR55" s="22"/>
      <c r="BS55" s="22"/>
    </row>
    <row r="56" spans="3:71"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4"/>
      <c r="BM56" s="44"/>
      <c r="BN56" s="275"/>
      <c r="BO56" s="275"/>
      <c r="BP56" s="42"/>
      <c r="BQ56" s="42"/>
      <c r="BR56" s="22"/>
      <c r="BS56" s="22"/>
    </row>
    <row r="57" spans="3:71"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70"/>
      <c r="BM57" s="70"/>
      <c r="BN57" s="60"/>
      <c r="BO57" s="60"/>
      <c r="BP57" s="76"/>
      <c r="BQ57" s="90"/>
      <c r="BR57" s="22"/>
      <c r="BS57" s="22"/>
    </row>
    <row r="58" spans="3:71"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70"/>
      <c r="BM58" s="70"/>
      <c r="BN58" s="60"/>
      <c r="BO58" s="60"/>
      <c r="BP58" s="76"/>
      <c r="BQ58" s="77"/>
      <c r="BR58" s="22"/>
      <c r="BS58" s="22"/>
    </row>
    <row r="59" spans="3:71"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70"/>
      <c r="BM59" s="70"/>
      <c r="BN59" s="58"/>
      <c r="BO59" s="59"/>
      <c r="BP59" s="59"/>
      <c r="BQ59" s="60"/>
      <c r="BR59" s="22"/>
      <c r="BS59" s="22"/>
    </row>
    <row r="60" spans="3:71"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42"/>
      <c r="BM60" s="42"/>
      <c r="BN60" s="66"/>
      <c r="BO60" s="66"/>
      <c r="BP60" s="66"/>
      <c r="BQ60" s="60"/>
      <c r="BR60" s="22"/>
      <c r="BS60" s="22"/>
    </row>
    <row r="61" spans="3:71"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70"/>
      <c r="BM61" s="70"/>
      <c r="BN61" s="66"/>
      <c r="BO61" s="66"/>
      <c r="BP61" s="66"/>
      <c r="BQ61" s="60"/>
      <c r="BR61" s="22"/>
      <c r="BS61" s="22"/>
    </row>
    <row r="62" spans="3:71"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70"/>
      <c r="BM62" s="70"/>
      <c r="BN62" s="66"/>
      <c r="BO62" s="67"/>
      <c r="BP62" s="67"/>
      <c r="BQ62" s="82"/>
      <c r="BR62" s="22"/>
      <c r="BS62" s="22"/>
    </row>
    <row r="63" spans="3:71"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70"/>
      <c r="BM63" s="70"/>
      <c r="BN63" s="66"/>
      <c r="BO63" s="67"/>
      <c r="BP63" s="67"/>
      <c r="BQ63" s="60"/>
      <c r="BR63" s="22"/>
      <c r="BS63" s="22"/>
    </row>
    <row r="64" spans="3:71"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70"/>
      <c r="BM64" s="70"/>
      <c r="BN64" s="66"/>
      <c r="BO64" s="67"/>
      <c r="BP64" s="67"/>
      <c r="BQ64" s="60"/>
      <c r="BR64" s="22"/>
      <c r="BS64" s="22"/>
    </row>
    <row r="65" spans="3:71"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70"/>
      <c r="BM65" s="70"/>
      <c r="BN65" s="66"/>
      <c r="BO65" s="67"/>
      <c r="BP65" s="67"/>
      <c r="BQ65" s="69"/>
      <c r="BR65" s="22"/>
      <c r="BS65" s="22"/>
    </row>
    <row r="66" spans="3:71"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42"/>
      <c r="BM66" s="42"/>
      <c r="BN66" s="66"/>
      <c r="BO66" s="67"/>
      <c r="BP66" s="67"/>
      <c r="BQ66" s="60"/>
      <c r="BR66" s="22"/>
      <c r="BS66" s="22"/>
    </row>
    <row r="67" spans="3:71"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42"/>
      <c r="BM67" s="42"/>
      <c r="BN67" s="66"/>
      <c r="BO67" s="67"/>
      <c r="BP67" s="67"/>
      <c r="BQ67" s="66"/>
      <c r="BR67" s="22"/>
      <c r="BS67" s="22"/>
    </row>
    <row r="68" spans="3:71"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70"/>
      <c r="BM68" s="70"/>
      <c r="BN68" s="66"/>
      <c r="BO68" s="67"/>
      <c r="BP68" s="67"/>
      <c r="BQ68" s="60"/>
      <c r="BR68" s="22"/>
      <c r="BS68" s="22"/>
    </row>
    <row r="69" spans="3:71"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42"/>
      <c r="BM69" s="42"/>
      <c r="BN69" s="66"/>
      <c r="BO69" s="67"/>
      <c r="BP69" s="67"/>
      <c r="BQ69" s="60"/>
      <c r="BR69" s="22"/>
      <c r="BS69" s="22"/>
    </row>
    <row r="70" spans="3:71"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86"/>
      <c r="BM70" s="86"/>
      <c r="BN70" s="87"/>
      <c r="BO70" s="66"/>
      <c r="BP70" s="66"/>
      <c r="BQ70" s="60"/>
      <c r="BR70" s="22"/>
      <c r="BS70" s="22"/>
    </row>
    <row r="71" spans="3:71"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86"/>
      <c r="BM71" s="86"/>
      <c r="BN71" s="74"/>
      <c r="BO71" s="74"/>
      <c r="BP71" s="74"/>
      <c r="BQ71" s="60"/>
      <c r="BR71" s="22"/>
      <c r="BS71" s="22"/>
    </row>
    <row r="72" spans="3:71"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4"/>
      <c r="BM72" s="44"/>
      <c r="BN72" s="74"/>
      <c r="BO72" s="74"/>
      <c r="BP72" s="74"/>
      <c r="BQ72" s="60"/>
      <c r="BR72" s="22"/>
      <c r="BS72" s="22"/>
    </row>
    <row r="73" spans="3:71"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4"/>
      <c r="BM73" s="44"/>
      <c r="BN73" s="74"/>
      <c r="BO73" s="74"/>
      <c r="BP73" s="74"/>
      <c r="BQ73" s="60"/>
      <c r="BR73" s="22"/>
      <c r="BS73" s="22"/>
    </row>
    <row r="74" spans="3:71"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92"/>
      <c r="BM74" s="92"/>
      <c r="BN74" s="74"/>
      <c r="BO74" s="74"/>
      <c r="BP74" s="74"/>
      <c r="BQ74" s="60"/>
      <c r="BR74" s="22"/>
      <c r="BS74" s="22"/>
    </row>
    <row r="75" spans="3:71"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92"/>
      <c r="BM75" s="92"/>
      <c r="BN75" s="74"/>
      <c r="BO75" s="74"/>
      <c r="BP75" s="74"/>
      <c r="BQ75" s="60"/>
      <c r="BR75" s="22"/>
      <c r="BS75" s="22"/>
    </row>
    <row r="76" spans="3:71"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70"/>
      <c r="BM76" s="70"/>
      <c r="BN76" s="74"/>
      <c r="BO76" s="74"/>
      <c r="BP76" s="74"/>
      <c r="BQ76" s="22"/>
      <c r="BR76" s="22"/>
      <c r="BS76" s="22"/>
    </row>
    <row r="77" spans="3:71"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92"/>
      <c r="BM77" s="92"/>
      <c r="BN77" s="74"/>
      <c r="BO77" s="74"/>
      <c r="BP77" s="74"/>
      <c r="BQ77" s="22"/>
      <c r="BR77" s="22"/>
      <c r="BS77" s="22"/>
    </row>
    <row r="78" spans="3:71"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70"/>
      <c r="BM78" s="70"/>
      <c r="BN78" s="22"/>
      <c r="BO78" s="22"/>
      <c r="BP78" s="22"/>
      <c r="BQ78" s="22"/>
      <c r="BR78" s="22"/>
      <c r="BS78" s="22"/>
    </row>
    <row r="79" spans="3:71"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86"/>
      <c r="BM79" s="86"/>
      <c r="BN79" s="22"/>
      <c r="BO79" s="22"/>
      <c r="BP79" s="22"/>
      <c r="BQ79" s="22"/>
      <c r="BR79" s="22"/>
      <c r="BS79" s="22"/>
    </row>
    <row r="80" spans="3:71"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86"/>
      <c r="BM80" s="86"/>
      <c r="BN80" s="22"/>
      <c r="BO80" s="22"/>
      <c r="BP80" s="22"/>
      <c r="BQ80" s="22"/>
      <c r="BR80" s="22"/>
      <c r="BS80" s="22"/>
    </row>
    <row r="81" spans="3:71"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row>
    <row r="82" spans="3:71"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row>
    <row r="83" spans="3:71"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row>
    <row r="84" spans="3:71"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4"/>
      <c r="BM84" s="44"/>
      <c r="BN84" s="22"/>
      <c r="BO84" s="22"/>
      <c r="BP84" s="22"/>
      <c r="BQ84" s="22"/>
      <c r="BR84" s="22"/>
      <c r="BS84" s="22"/>
    </row>
    <row r="85" spans="3:71"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4"/>
      <c r="BM85" s="44"/>
      <c r="BN85" s="275"/>
      <c r="BO85" s="275"/>
      <c r="BP85" s="42"/>
      <c r="BQ85" s="42"/>
      <c r="BR85" s="22"/>
      <c r="BS85" s="22"/>
    </row>
    <row r="86" spans="3:71"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70"/>
      <c r="BM86" s="70"/>
      <c r="BN86" s="60"/>
      <c r="BO86" s="60"/>
      <c r="BP86" s="76"/>
      <c r="BQ86" s="90"/>
      <c r="BR86" s="22"/>
      <c r="BS86" s="22"/>
    </row>
    <row r="87" spans="3:71"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70"/>
      <c r="BM87" s="70"/>
      <c r="BN87" s="60"/>
      <c r="BO87" s="60"/>
      <c r="BP87" s="76"/>
      <c r="BQ87" s="77"/>
      <c r="BR87" s="22"/>
      <c r="BS87" s="22"/>
    </row>
    <row r="88" spans="3:71"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70"/>
      <c r="BM88" s="70"/>
      <c r="BN88" s="58"/>
      <c r="BO88" s="59"/>
      <c r="BP88" s="59"/>
      <c r="BQ88" s="60"/>
      <c r="BR88" s="22"/>
      <c r="BS88" s="22"/>
    </row>
    <row r="89" spans="3:71"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42"/>
      <c r="BM89" s="42"/>
      <c r="BN89" s="66"/>
      <c r="BO89" s="66"/>
      <c r="BP89" s="66"/>
      <c r="BQ89" s="60"/>
      <c r="BR89" s="22"/>
      <c r="BS89" s="22"/>
    </row>
    <row r="90" spans="3:71"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70"/>
      <c r="BM90" s="70"/>
      <c r="BN90" s="66"/>
      <c r="BO90" s="66"/>
      <c r="BP90" s="66"/>
      <c r="BQ90" s="60"/>
      <c r="BR90" s="22"/>
      <c r="BS90" s="22"/>
    </row>
    <row r="91" spans="3:71"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70"/>
      <c r="BM91" s="70"/>
      <c r="BN91" s="66"/>
      <c r="BO91" s="67"/>
      <c r="BP91" s="67"/>
      <c r="BQ91" s="82"/>
      <c r="BR91" s="22"/>
      <c r="BS91" s="22"/>
    </row>
  </sheetData>
  <sheetProtection/>
  <mergeCells count="4">
    <mergeCell ref="BP6:BQ6"/>
    <mergeCell ref="BR6:BS6"/>
    <mergeCell ref="BN85:BO85"/>
    <mergeCell ref="BN56:BO56"/>
  </mergeCells>
  <conditionalFormatting sqref="B63:B67 A46 B75:B79 B56:B57 B47:B54">
    <cfRule type="cellIs" priority="1" dxfId="0" operator="notEqual" stopIfTrue="1">
      <formula>"OK"</formula>
    </cfRule>
  </conditionalFormatting>
  <conditionalFormatting sqref="BV7:BX9 BV12:BX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2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BY143"/>
  <sheetViews>
    <sheetView zoomScalePageLayoutView="0" workbookViewId="0" topLeftCell="C1">
      <selection activeCell="C1" sqref="C1"/>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14" width="14.8515625" style="110" customWidth="1"/>
    <col min="15" max="17" width="17.00390625" style="110" customWidth="1"/>
    <col min="18" max="41" width="15.7109375" style="110" customWidth="1"/>
    <col min="42" max="42" width="15.8515625" style="110" customWidth="1"/>
    <col min="43" max="51" width="16.7109375" style="110" customWidth="1"/>
    <col min="52" max="52" width="16.140625" style="110" customWidth="1"/>
    <col min="53" max="16384" width="15.00390625" style="110" customWidth="1"/>
  </cols>
  <sheetData>
    <row r="1" spans="1:2" ht="15" customHeight="1">
      <c r="A1" s="38" t="s">
        <v>102</v>
      </c>
      <c r="B1" s="24">
        <v>1</v>
      </c>
    </row>
    <row r="2" spans="1:66" ht="15" customHeight="1">
      <c r="A2" s="25" t="s">
        <v>27</v>
      </c>
      <c r="B2" s="25" t="s">
        <v>13</v>
      </c>
      <c r="C2" s="111" t="str">
        <f>IF($B$1=1,B2,A2)</f>
        <v>Arket indeholder følgende information:</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2"/>
      <c r="BE2" s="112"/>
      <c r="BF2" s="112"/>
      <c r="BG2" s="112"/>
      <c r="BH2" s="112"/>
      <c r="BI2" s="112"/>
      <c r="BJ2" s="112"/>
      <c r="BK2" s="112"/>
      <c r="BL2" s="112"/>
      <c r="BM2" s="112"/>
      <c r="BN2" s="112"/>
    </row>
    <row r="3" ht="15" customHeight="1">
      <c r="B3" s="25" t="s">
        <v>25</v>
      </c>
    </row>
    <row r="4" ht="15" customHeight="1">
      <c r="B4" s="25" t="s">
        <v>26</v>
      </c>
    </row>
    <row r="6" spans="1:77" ht="15" customHeight="1">
      <c r="A6" s="27" t="s">
        <v>250</v>
      </c>
      <c r="B6" s="25" t="s">
        <v>1</v>
      </c>
      <c r="C6" s="111" t="str">
        <f>IF($B$1=1,B6,A6)</f>
        <v>Nøgletal</v>
      </c>
      <c r="D6" s="189" t="s">
        <v>332</v>
      </c>
      <c r="E6" s="189" t="s">
        <v>331</v>
      </c>
      <c r="F6" s="189" t="s">
        <v>330</v>
      </c>
      <c r="G6" s="189" t="s">
        <v>329</v>
      </c>
      <c r="H6" s="189" t="s">
        <v>328</v>
      </c>
      <c r="I6" s="189" t="s">
        <v>327</v>
      </c>
      <c r="J6" s="189" t="s">
        <v>324</v>
      </c>
      <c r="K6" s="189" t="s">
        <v>319</v>
      </c>
      <c r="L6" s="189" t="s">
        <v>318</v>
      </c>
      <c r="M6" s="189" t="s">
        <v>317</v>
      </c>
      <c r="N6" s="189" t="s">
        <v>316</v>
      </c>
      <c r="O6" s="189" t="s">
        <v>314</v>
      </c>
      <c r="P6" s="189" t="s">
        <v>313</v>
      </c>
      <c r="Q6" s="189" t="s">
        <v>312</v>
      </c>
      <c r="R6" s="189" t="s">
        <v>311</v>
      </c>
      <c r="S6" s="189" t="s">
        <v>309</v>
      </c>
      <c r="T6" s="189" t="s">
        <v>307</v>
      </c>
      <c r="U6" s="189" t="s">
        <v>306</v>
      </c>
      <c r="V6" s="189" t="s">
        <v>305</v>
      </c>
      <c r="W6" s="189" t="s">
        <v>304</v>
      </c>
      <c r="X6" s="189" t="s">
        <v>302</v>
      </c>
      <c r="Y6" s="189" t="s">
        <v>299</v>
      </c>
      <c r="Z6" s="189" t="s">
        <v>298</v>
      </c>
      <c r="AA6" s="189" t="s">
        <v>297</v>
      </c>
      <c r="AB6" s="189" t="s">
        <v>295</v>
      </c>
      <c r="AC6" s="189" t="s">
        <v>294</v>
      </c>
      <c r="AD6" s="189" t="s">
        <v>292</v>
      </c>
      <c r="AE6" s="189" t="s">
        <v>281</v>
      </c>
      <c r="AF6" s="189" t="s">
        <v>280</v>
      </c>
      <c r="AG6" s="189" t="s">
        <v>279</v>
      </c>
      <c r="AH6" s="189" t="s">
        <v>278</v>
      </c>
      <c r="AI6" s="189" t="s">
        <v>277</v>
      </c>
      <c r="AJ6" s="189" t="s">
        <v>274</v>
      </c>
      <c r="AK6" s="189" t="s">
        <v>271</v>
      </c>
      <c r="AL6" s="189" t="s">
        <v>266</v>
      </c>
      <c r="AM6" s="189" t="s">
        <v>264</v>
      </c>
      <c r="AN6" s="189" t="s">
        <v>261</v>
      </c>
      <c r="AO6" s="189" t="s">
        <v>259</v>
      </c>
      <c r="AP6" s="189" t="s">
        <v>258</v>
      </c>
      <c r="AQ6" s="189" t="s">
        <v>257</v>
      </c>
      <c r="AR6" s="189" t="s">
        <v>240</v>
      </c>
      <c r="AS6" s="189" t="s">
        <v>219</v>
      </c>
      <c r="AT6" s="189" t="s">
        <v>217</v>
      </c>
      <c r="AU6" s="189" t="s">
        <v>216</v>
      </c>
      <c r="AV6" s="189" t="s">
        <v>176</v>
      </c>
      <c r="AW6" s="189" t="s">
        <v>174</v>
      </c>
      <c r="AX6" s="189" t="s">
        <v>173</v>
      </c>
      <c r="AY6" s="189" t="s">
        <v>172</v>
      </c>
      <c r="AZ6" s="189" t="s">
        <v>170</v>
      </c>
      <c r="BA6" s="189" t="s">
        <v>169</v>
      </c>
      <c r="BB6" s="189" t="s">
        <v>168</v>
      </c>
      <c r="BC6" s="189" t="s">
        <v>163</v>
      </c>
      <c r="BD6" s="189" t="s">
        <v>161</v>
      </c>
      <c r="BE6" s="113" t="s">
        <v>159</v>
      </c>
      <c r="BF6" s="113" t="s">
        <v>158</v>
      </c>
      <c r="BG6" s="113" t="s">
        <v>157</v>
      </c>
      <c r="BH6" s="114" t="s">
        <v>149</v>
      </c>
      <c r="BI6" s="113" t="s">
        <v>148</v>
      </c>
      <c r="BJ6" s="113" t="s">
        <v>147</v>
      </c>
      <c r="BK6" s="113" t="s">
        <v>146</v>
      </c>
      <c r="BL6" s="113" t="s">
        <v>109</v>
      </c>
      <c r="BM6" s="113" t="s">
        <v>106</v>
      </c>
      <c r="BN6" s="113" t="s">
        <v>105</v>
      </c>
      <c r="BO6" s="113" t="s">
        <v>104</v>
      </c>
      <c r="BP6" s="113" t="s">
        <v>103</v>
      </c>
      <c r="BQ6" s="113" t="s">
        <v>101</v>
      </c>
      <c r="BT6" s="115"/>
      <c r="BV6" s="116"/>
      <c r="BW6" s="117"/>
      <c r="BX6" s="117"/>
      <c r="BY6" s="117"/>
    </row>
    <row r="7" spans="1:77" s="120" customFormat="1" ht="15" customHeight="1">
      <c r="A7" s="45"/>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19"/>
      <c r="BF7" s="119"/>
      <c r="BG7" s="119"/>
      <c r="BH7" s="119"/>
      <c r="BI7" s="119"/>
      <c r="BJ7" s="119"/>
      <c r="BK7" s="119"/>
      <c r="BL7" s="119"/>
      <c r="BM7" s="119"/>
      <c r="BN7" s="119"/>
      <c r="BO7" s="119"/>
      <c r="BP7" s="119"/>
      <c r="BQ7" s="119"/>
      <c r="BT7" s="121"/>
      <c r="BV7" s="122"/>
      <c r="BW7" s="123"/>
      <c r="BX7" s="123"/>
      <c r="BY7" s="123"/>
    </row>
    <row r="8" spans="1:72" ht="15" customHeight="1">
      <c r="A8" s="27" t="s">
        <v>192</v>
      </c>
      <c r="B8" s="27" t="s">
        <v>260</v>
      </c>
      <c r="C8" s="124" t="str">
        <f>IF($B$1=1,B8,A8)</f>
        <v>Egenkapitalens forrentning</v>
      </c>
      <c r="D8" s="259">
        <v>12.6</v>
      </c>
      <c r="E8" s="259">
        <v>7.6</v>
      </c>
      <c r="F8" s="259">
        <v>10.5</v>
      </c>
      <c r="G8" s="259">
        <v>7.7</v>
      </c>
      <c r="H8" s="259">
        <v>8.8</v>
      </c>
      <c r="I8" s="259">
        <v>6.4</v>
      </c>
      <c r="J8" s="259">
        <v>11.2</v>
      </c>
      <c r="K8" s="259">
        <v>12.6</v>
      </c>
      <c r="L8" s="259">
        <v>14.4</v>
      </c>
      <c r="M8" s="259">
        <v>12.8</v>
      </c>
      <c r="N8" s="259">
        <v>12.6</v>
      </c>
      <c r="O8" s="259">
        <v>14.4</v>
      </c>
      <c r="P8" s="259">
        <v>14.5</v>
      </c>
      <c r="Q8" s="259">
        <v>12.9</v>
      </c>
      <c r="R8" s="259">
        <v>11.8</v>
      </c>
      <c r="S8" s="259">
        <v>13.1</v>
      </c>
      <c r="T8" s="259">
        <v>-0.2</v>
      </c>
      <c r="U8" s="259">
        <v>9.5</v>
      </c>
      <c r="V8" s="259">
        <v>11.8</v>
      </c>
      <c r="W8" s="259">
        <v>13.3</v>
      </c>
      <c r="X8" s="259">
        <v>-16.9</v>
      </c>
      <c r="Y8" s="259">
        <v>8.5</v>
      </c>
      <c r="Z8" s="259">
        <v>11.1</v>
      </c>
      <c r="AA8" s="259">
        <v>7.6</v>
      </c>
      <c r="AB8" s="195">
        <v>5.3</v>
      </c>
      <c r="AC8" s="195">
        <v>4.3</v>
      </c>
      <c r="AD8" s="195">
        <v>6.2</v>
      </c>
      <c r="AE8" s="195">
        <v>4.3</v>
      </c>
      <c r="AF8" s="195">
        <v>3.5</v>
      </c>
      <c r="AG8" s="195">
        <v>4.1</v>
      </c>
      <c r="AH8" s="195">
        <v>4.7</v>
      </c>
      <c r="AI8" s="195">
        <v>2.5</v>
      </c>
      <c r="AJ8" s="195">
        <v>0.6</v>
      </c>
      <c r="AK8" s="195">
        <v>-1.2</v>
      </c>
      <c r="AL8" s="195">
        <v>3.8</v>
      </c>
      <c r="AM8" s="195">
        <v>2.7</v>
      </c>
      <c r="AN8" s="195">
        <v>4.1</v>
      </c>
      <c r="AO8" s="195">
        <v>3.4</v>
      </c>
      <c r="AP8" s="195">
        <v>3.7</v>
      </c>
      <c r="AQ8" s="195">
        <v>3</v>
      </c>
      <c r="AR8" s="195">
        <v>1.6</v>
      </c>
      <c r="AS8" s="195">
        <v>2.3</v>
      </c>
      <c r="AT8" s="195">
        <v>-3.4</v>
      </c>
      <c r="AU8" s="195">
        <v>6.3</v>
      </c>
      <c r="AV8" s="195">
        <v>-23.1</v>
      </c>
      <c r="AW8" s="195">
        <v>4.2</v>
      </c>
      <c r="AX8" s="195">
        <v>12.6</v>
      </c>
      <c r="AY8" s="195">
        <v>9.8</v>
      </c>
      <c r="AZ8" s="195">
        <v>13.9</v>
      </c>
      <c r="BA8" s="204">
        <v>14.7</v>
      </c>
      <c r="BB8" s="204">
        <v>15.8</v>
      </c>
      <c r="BC8" s="204">
        <v>15.9</v>
      </c>
      <c r="BD8" s="195">
        <v>17.6</v>
      </c>
      <c r="BE8" s="182">
        <v>19.7</v>
      </c>
      <c r="BF8" s="125">
        <v>16.4</v>
      </c>
      <c r="BG8" s="125">
        <v>16.8</v>
      </c>
      <c r="BH8" s="125">
        <v>18.4</v>
      </c>
      <c r="BI8" s="125">
        <v>20.7</v>
      </c>
      <c r="BJ8" s="125">
        <v>17.2</v>
      </c>
      <c r="BK8" s="125">
        <v>18.1</v>
      </c>
      <c r="BL8" s="125">
        <v>17.7</v>
      </c>
      <c r="BM8" s="125">
        <v>13.9</v>
      </c>
      <c r="BN8" s="125">
        <v>18.4</v>
      </c>
      <c r="BO8" s="125">
        <v>13.7</v>
      </c>
      <c r="BP8" s="125">
        <v>11.4</v>
      </c>
      <c r="BQ8" s="125">
        <v>13.3</v>
      </c>
      <c r="BT8" s="115"/>
    </row>
    <row r="9" spans="1:72" ht="15" customHeight="1">
      <c r="A9" s="27" t="s">
        <v>234</v>
      </c>
      <c r="B9" s="27" t="s">
        <v>90</v>
      </c>
      <c r="C9" s="124" t="str">
        <f>IF($B$1=1,B9,A9)</f>
        <v>Periodens resultat pr. aktie (kr.)</v>
      </c>
      <c r="D9" s="259">
        <v>5.7</v>
      </c>
      <c r="E9" s="259">
        <v>3.3</v>
      </c>
      <c r="F9" s="259">
        <v>4.5</v>
      </c>
      <c r="G9" s="259">
        <v>3.3</v>
      </c>
      <c r="H9" s="259">
        <v>3.7</v>
      </c>
      <c r="I9" s="259">
        <v>2.7</v>
      </c>
      <c r="J9" s="259">
        <v>4.7</v>
      </c>
      <c r="K9" s="259">
        <v>5.3</v>
      </c>
      <c r="L9" s="259">
        <v>6.1</v>
      </c>
      <c r="M9" s="259">
        <v>5.3</v>
      </c>
      <c r="N9" s="259">
        <v>5</v>
      </c>
      <c r="O9" s="259">
        <v>5.8</v>
      </c>
      <c r="P9" s="259">
        <v>5.8</v>
      </c>
      <c r="Q9" s="259">
        <v>5</v>
      </c>
      <c r="R9" s="259">
        <v>4.4</v>
      </c>
      <c r="S9" s="259">
        <v>5</v>
      </c>
      <c r="T9" s="259">
        <v>-0.1</v>
      </c>
      <c r="U9" s="259">
        <v>3.6</v>
      </c>
      <c r="V9" s="259">
        <v>4.4</v>
      </c>
      <c r="W9" s="259">
        <v>4.9</v>
      </c>
      <c r="X9" s="259">
        <v>-6.3</v>
      </c>
      <c r="Y9" s="259">
        <v>3.2</v>
      </c>
      <c r="Z9" s="259">
        <v>4.1</v>
      </c>
      <c r="AA9" s="259">
        <v>2.8</v>
      </c>
      <c r="AB9" s="195">
        <v>1.9</v>
      </c>
      <c r="AC9" s="195">
        <v>1.5</v>
      </c>
      <c r="AD9" s="195">
        <v>2.2</v>
      </c>
      <c r="AE9" s="195">
        <v>1.5</v>
      </c>
      <c r="AF9" s="195">
        <v>1.2</v>
      </c>
      <c r="AG9" s="195">
        <v>1.4</v>
      </c>
      <c r="AH9" s="195">
        <v>1.6</v>
      </c>
      <c r="AI9" s="195">
        <v>0.8</v>
      </c>
      <c r="AJ9" s="195">
        <v>0.2</v>
      </c>
      <c r="AK9" s="195">
        <v>-0.4</v>
      </c>
      <c r="AL9" s="195">
        <v>1.3</v>
      </c>
      <c r="AM9" s="195">
        <v>1</v>
      </c>
      <c r="AN9" s="195">
        <v>1.5</v>
      </c>
      <c r="AO9" s="195">
        <v>1.3</v>
      </c>
      <c r="AP9" s="195">
        <v>1.4</v>
      </c>
      <c r="AQ9" s="195">
        <v>1.1</v>
      </c>
      <c r="AR9" s="195">
        <v>0.6</v>
      </c>
      <c r="AS9" s="195">
        <v>0.8</v>
      </c>
      <c r="AT9" s="195">
        <v>-1.2</v>
      </c>
      <c r="AU9" s="195">
        <v>2.3</v>
      </c>
      <c r="AV9" s="195">
        <v>-8.6</v>
      </c>
      <c r="AW9" s="195">
        <v>1.6</v>
      </c>
      <c r="AX9" s="195">
        <v>4.7</v>
      </c>
      <c r="AY9" s="195">
        <v>3.7</v>
      </c>
      <c r="AZ9" s="195">
        <v>5.2</v>
      </c>
      <c r="BA9" s="204">
        <v>5.3</v>
      </c>
      <c r="BB9" s="204">
        <v>5.5</v>
      </c>
      <c r="BC9" s="204">
        <v>5.6</v>
      </c>
      <c r="BD9" s="195">
        <v>6</v>
      </c>
      <c r="BE9" s="182">
        <v>5.9</v>
      </c>
      <c r="BF9" s="126">
        <v>4.7</v>
      </c>
      <c r="BG9" s="126">
        <v>5</v>
      </c>
      <c r="BH9" s="126">
        <v>20.2</v>
      </c>
      <c r="BI9" s="126">
        <v>6</v>
      </c>
      <c r="BJ9" s="126">
        <v>4.7</v>
      </c>
      <c r="BK9" s="126">
        <v>4.8</v>
      </c>
      <c r="BL9" s="126">
        <v>4.8</v>
      </c>
      <c r="BM9" s="126">
        <v>14.4</v>
      </c>
      <c r="BN9" s="126">
        <v>4.8</v>
      </c>
      <c r="BO9" s="126">
        <v>3.5</v>
      </c>
      <c r="BP9" s="126">
        <v>2.8</v>
      </c>
      <c r="BQ9" s="126">
        <v>3.4</v>
      </c>
      <c r="BT9" s="115"/>
    </row>
    <row r="10" spans="1:72" ht="15" customHeight="1">
      <c r="A10" s="27" t="s">
        <v>235</v>
      </c>
      <c r="B10" s="27" t="s">
        <v>251</v>
      </c>
      <c r="C10" s="124" t="str">
        <f aca="true" t="shared" si="0" ref="C10:C15">IF($B$1=1,B10,A10)</f>
        <v>Børskurs, ultimo (kr.)</v>
      </c>
      <c r="D10" s="259">
        <v>107.8</v>
      </c>
      <c r="E10" s="259">
        <v>95.38</v>
      </c>
      <c r="F10" s="259">
        <v>103.8</v>
      </c>
      <c r="G10" s="259">
        <v>116.8</v>
      </c>
      <c r="H10" s="259">
        <v>128.9</v>
      </c>
      <c r="I10" s="259">
        <v>168.7</v>
      </c>
      <c r="J10" s="259">
        <v>199.8</v>
      </c>
      <c r="K10" s="259">
        <v>225.4</v>
      </c>
      <c r="L10" s="259">
        <v>241.6</v>
      </c>
      <c r="M10" s="259">
        <v>251.8</v>
      </c>
      <c r="N10" s="259">
        <v>250.4</v>
      </c>
      <c r="O10" s="259">
        <v>237.5</v>
      </c>
      <c r="P10" s="259">
        <v>214.2</v>
      </c>
      <c r="Q10" s="259">
        <v>193.4</v>
      </c>
      <c r="R10" s="259">
        <v>175.4</v>
      </c>
      <c r="S10" s="259">
        <v>185</v>
      </c>
      <c r="T10" s="259">
        <v>185.2</v>
      </c>
      <c r="U10" s="259">
        <v>201.5</v>
      </c>
      <c r="V10" s="259">
        <v>196.8</v>
      </c>
      <c r="W10" s="259">
        <v>183.5</v>
      </c>
      <c r="X10" s="259">
        <v>167.4</v>
      </c>
      <c r="Y10" s="259">
        <v>160.2</v>
      </c>
      <c r="Z10" s="259">
        <v>153.9</v>
      </c>
      <c r="AA10" s="259">
        <v>151</v>
      </c>
      <c r="AB10" s="195">
        <v>124.4</v>
      </c>
      <c r="AC10" s="195">
        <v>118.7</v>
      </c>
      <c r="AD10" s="195">
        <v>98</v>
      </c>
      <c r="AE10" s="195">
        <v>104</v>
      </c>
      <c r="AF10" s="195">
        <v>95.7</v>
      </c>
      <c r="AG10" s="195">
        <v>104.7</v>
      </c>
      <c r="AH10" s="195">
        <v>81.4</v>
      </c>
      <c r="AI10" s="195">
        <v>94.5</v>
      </c>
      <c r="AJ10" s="195">
        <v>73</v>
      </c>
      <c r="AK10" s="195">
        <v>78.6</v>
      </c>
      <c r="AL10" s="195">
        <v>95.3</v>
      </c>
      <c r="AM10" s="195">
        <v>116.5</v>
      </c>
      <c r="AN10" s="195">
        <v>143</v>
      </c>
      <c r="AO10" s="195">
        <v>131.9</v>
      </c>
      <c r="AP10" s="195">
        <v>118.1</v>
      </c>
      <c r="AQ10" s="195">
        <v>135.6</v>
      </c>
      <c r="AR10" s="195">
        <v>118</v>
      </c>
      <c r="AS10" s="195">
        <v>133.3</v>
      </c>
      <c r="AT10" s="195">
        <v>91.5</v>
      </c>
      <c r="AU10" s="195">
        <v>47.2</v>
      </c>
      <c r="AV10" s="195">
        <v>52</v>
      </c>
      <c r="AW10" s="195">
        <v>124.8</v>
      </c>
      <c r="AX10" s="195">
        <v>137</v>
      </c>
      <c r="AY10" s="195">
        <v>174.3</v>
      </c>
      <c r="AZ10" s="195">
        <v>199.8</v>
      </c>
      <c r="BA10" s="204">
        <v>212.3</v>
      </c>
      <c r="BB10" s="204">
        <v>226</v>
      </c>
      <c r="BC10" s="204">
        <v>259.5</v>
      </c>
      <c r="BD10" s="195">
        <v>250</v>
      </c>
      <c r="BE10" s="182">
        <v>230.7</v>
      </c>
      <c r="BF10" s="126">
        <v>221.5</v>
      </c>
      <c r="BG10" s="126">
        <v>229</v>
      </c>
      <c r="BH10" s="126">
        <v>221.2</v>
      </c>
      <c r="BI10" s="126">
        <v>221.2</v>
      </c>
      <c r="BJ10" s="126">
        <v>190.1</v>
      </c>
      <c r="BK10" s="126">
        <v>185.3</v>
      </c>
      <c r="BL10" s="126">
        <v>165.7</v>
      </c>
      <c r="BM10" s="126">
        <v>167.5</v>
      </c>
      <c r="BN10" s="126">
        <v>167.5</v>
      </c>
      <c r="BO10" s="126">
        <v>157.7</v>
      </c>
      <c r="BP10" s="126">
        <v>144.8</v>
      </c>
      <c r="BQ10" s="126">
        <v>137.9</v>
      </c>
      <c r="BT10" s="115"/>
    </row>
    <row r="11" spans="1:72" ht="15" customHeight="1">
      <c r="A11" s="27" t="s">
        <v>236</v>
      </c>
      <c r="B11" s="27" t="s">
        <v>91</v>
      </c>
      <c r="C11" s="124" t="str">
        <f t="shared" si="0"/>
        <v>Indre værdi pr. aktie (kr.)</v>
      </c>
      <c r="D11" s="259">
        <v>183.1</v>
      </c>
      <c r="E11" s="259">
        <v>176.9</v>
      </c>
      <c r="F11" s="259">
        <v>174.2</v>
      </c>
      <c r="G11" s="259">
        <v>168.7</v>
      </c>
      <c r="H11" s="259">
        <v>174.3</v>
      </c>
      <c r="I11" s="259">
        <v>171</v>
      </c>
      <c r="J11" s="259">
        <v>168.3</v>
      </c>
      <c r="K11" s="259">
        <v>164.4</v>
      </c>
      <c r="L11" s="259">
        <v>172.2</v>
      </c>
      <c r="M11" s="259">
        <v>167</v>
      </c>
      <c r="N11" s="259">
        <v>162.5</v>
      </c>
      <c r="O11" s="259">
        <v>158.3</v>
      </c>
      <c r="P11" s="259">
        <v>162.8</v>
      </c>
      <c r="Q11" s="259">
        <v>157.4</v>
      </c>
      <c r="R11" s="259">
        <v>153.2</v>
      </c>
      <c r="S11" s="259">
        <v>149.3</v>
      </c>
      <c r="T11" s="259">
        <v>153.2</v>
      </c>
      <c r="U11" s="259">
        <v>153.1</v>
      </c>
      <c r="V11" s="259">
        <v>150.2</v>
      </c>
      <c r="W11" s="259">
        <v>146</v>
      </c>
      <c r="X11" s="259">
        <v>146.8</v>
      </c>
      <c r="Y11" s="259">
        <v>152.3</v>
      </c>
      <c r="Z11" s="259">
        <v>149.6</v>
      </c>
      <c r="AA11" s="259">
        <v>145.4</v>
      </c>
      <c r="AB11" s="195">
        <v>145.6</v>
      </c>
      <c r="AC11" s="195">
        <v>143.3</v>
      </c>
      <c r="AD11" s="195">
        <v>141.6</v>
      </c>
      <c r="AE11" s="195">
        <v>139.5</v>
      </c>
      <c r="AF11" s="195">
        <v>137.9</v>
      </c>
      <c r="AG11" s="195">
        <v>140.2</v>
      </c>
      <c r="AH11" s="195">
        <v>138.4</v>
      </c>
      <c r="AI11" s="195">
        <v>137</v>
      </c>
      <c r="AJ11" s="195">
        <v>135.7</v>
      </c>
      <c r="AK11" s="195">
        <v>135.7</v>
      </c>
      <c r="AL11" s="195">
        <v>136.3</v>
      </c>
      <c r="AM11" s="195">
        <v>152.1</v>
      </c>
      <c r="AN11" s="195">
        <v>151.4</v>
      </c>
      <c r="AO11" s="195">
        <v>149.6</v>
      </c>
      <c r="AP11" s="195">
        <v>148.4</v>
      </c>
      <c r="AQ11" s="195">
        <v>147</v>
      </c>
      <c r="AR11" s="195">
        <v>145.8</v>
      </c>
      <c r="AS11" s="195">
        <v>145.7</v>
      </c>
      <c r="AT11" s="195">
        <v>144.1</v>
      </c>
      <c r="AU11" s="195">
        <v>143.8</v>
      </c>
      <c r="AV11" s="195">
        <v>142.4</v>
      </c>
      <c r="AW11" s="195">
        <v>154.3</v>
      </c>
      <c r="AX11" s="195">
        <v>152.8</v>
      </c>
      <c r="AY11" s="195">
        <v>147.5</v>
      </c>
      <c r="AZ11" s="195">
        <v>152.7</v>
      </c>
      <c r="BA11" s="204">
        <v>148.3</v>
      </c>
      <c r="BB11" s="204">
        <v>142.5</v>
      </c>
      <c r="BC11" s="204">
        <v>136.7</v>
      </c>
      <c r="BD11" s="195">
        <v>139.1</v>
      </c>
      <c r="BE11" s="182">
        <v>123.1</v>
      </c>
      <c r="BF11" s="126">
        <v>117.5</v>
      </c>
      <c r="BG11" s="126">
        <v>112.5</v>
      </c>
      <c r="BH11" s="126">
        <v>118.2</v>
      </c>
      <c r="BI11" s="126">
        <v>118.2</v>
      </c>
      <c r="BJ11" s="126">
        <v>112.3</v>
      </c>
      <c r="BK11" s="126">
        <v>107.7</v>
      </c>
      <c r="BL11" s="126">
        <v>103.1</v>
      </c>
      <c r="BM11" s="126">
        <v>106.7</v>
      </c>
      <c r="BN11" s="126">
        <v>106.7</v>
      </c>
      <c r="BO11" s="126">
        <v>102.5</v>
      </c>
      <c r="BP11" s="126">
        <v>99.7</v>
      </c>
      <c r="BQ11" s="126">
        <v>97.8</v>
      </c>
      <c r="BT11" s="115"/>
    </row>
    <row r="12" spans="1:72" ht="15" customHeight="1">
      <c r="A12" s="27" t="s">
        <v>253</v>
      </c>
      <c r="B12" s="27" t="s">
        <v>124</v>
      </c>
      <c r="C12" s="124" t="str">
        <f t="shared" si="0"/>
        <v>Kernekapitalprocent </v>
      </c>
      <c r="D12" s="259">
        <v>17.3</v>
      </c>
      <c r="E12" s="259">
        <v>19.5</v>
      </c>
      <c r="F12" s="259">
        <v>19.8</v>
      </c>
      <c r="G12" s="259">
        <v>19.8</v>
      </c>
      <c r="H12" s="259">
        <v>20.1</v>
      </c>
      <c r="I12" s="259">
        <v>19.6</v>
      </c>
      <c r="J12" s="259">
        <v>19</v>
      </c>
      <c r="K12" s="259">
        <v>18.9</v>
      </c>
      <c r="L12" s="259">
        <v>20.1</v>
      </c>
      <c r="M12" s="259">
        <v>19.1</v>
      </c>
      <c r="N12" s="259">
        <v>18.6</v>
      </c>
      <c r="O12" s="259">
        <v>17.9</v>
      </c>
      <c r="P12" s="259">
        <v>19.1</v>
      </c>
      <c r="Q12" s="259">
        <v>18.3</v>
      </c>
      <c r="R12" s="259">
        <v>18.3</v>
      </c>
      <c r="S12" s="259">
        <v>17.4</v>
      </c>
      <c r="T12" s="259">
        <v>18.5</v>
      </c>
      <c r="U12" s="259">
        <v>18.1</v>
      </c>
      <c r="V12" s="259">
        <v>16.5</v>
      </c>
      <c r="W12" s="259">
        <v>16.2</v>
      </c>
      <c r="X12" s="259">
        <v>16.7</v>
      </c>
      <c r="Y12" s="259">
        <v>16.6</v>
      </c>
      <c r="Z12" s="259">
        <v>16</v>
      </c>
      <c r="AA12" s="259">
        <v>15.7</v>
      </c>
      <c r="AB12" s="195">
        <v>19</v>
      </c>
      <c r="AC12" s="195">
        <v>18.3</v>
      </c>
      <c r="AD12" s="195">
        <v>20.3</v>
      </c>
      <c r="AE12" s="195">
        <v>19.6</v>
      </c>
      <c r="AF12" s="195">
        <v>18.9</v>
      </c>
      <c r="AG12" s="195">
        <v>17</v>
      </c>
      <c r="AH12" s="195">
        <v>16.2</v>
      </c>
      <c r="AI12" s="195">
        <v>16</v>
      </c>
      <c r="AJ12" s="195">
        <v>16</v>
      </c>
      <c r="AK12" s="195">
        <v>16</v>
      </c>
      <c r="AL12" s="195">
        <v>16.6</v>
      </c>
      <c r="AM12" s="195">
        <v>14.6</v>
      </c>
      <c r="AN12" s="195">
        <v>14.8</v>
      </c>
      <c r="AO12" s="195">
        <v>14.4</v>
      </c>
      <c r="AP12" s="195">
        <v>13.7</v>
      </c>
      <c r="AQ12" s="195">
        <v>14.2</v>
      </c>
      <c r="AR12" s="195">
        <v>14.1</v>
      </c>
      <c r="AS12" s="195">
        <v>12.6</v>
      </c>
      <c r="AT12" s="195">
        <v>12.2</v>
      </c>
      <c r="AU12" s="195">
        <v>9</v>
      </c>
      <c r="AV12" s="195">
        <v>9.2</v>
      </c>
      <c r="AW12" s="195">
        <v>10</v>
      </c>
      <c r="AX12" s="195">
        <v>10</v>
      </c>
      <c r="AY12" s="195">
        <v>9.5</v>
      </c>
      <c r="AZ12" s="195">
        <v>6.4</v>
      </c>
      <c r="BA12" s="204">
        <v>6.6</v>
      </c>
      <c r="BB12" s="204">
        <v>6.7</v>
      </c>
      <c r="BC12" s="204">
        <v>6.6</v>
      </c>
      <c r="BD12" s="195">
        <v>8.6</v>
      </c>
      <c r="BE12" s="182">
        <v>7.05</v>
      </c>
      <c r="BF12" s="126">
        <v>7.1</v>
      </c>
      <c r="BG12" s="126">
        <v>7.3</v>
      </c>
      <c r="BH12" s="126">
        <v>7.3</v>
      </c>
      <c r="BI12" s="126">
        <v>7.3</v>
      </c>
      <c r="BJ12" s="126">
        <v>6.5</v>
      </c>
      <c r="BK12" s="126">
        <v>6.5</v>
      </c>
      <c r="BL12" s="126">
        <v>6.8</v>
      </c>
      <c r="BM12" s="126">
        <v>7.7</v>
      </c>
      <c r="BN12" s="126">
        <v>7.7</v>
      </c>
      <c r="BO12" s="126">
        <v>7.4</v>
      </c>
      <c r="BP12" s="126">
        <v>7.6</v>
      </c>
      <c r="BQ12" s="126">
        <v>7.1</v>
      </c>
      <c r="BT12" s="115"/>
    </row>
    <row r="13" spans="1:72" s="128" customFormat="1" ht="15" customHeight="1">
      <c r="A13" s="27" t="s">
        <v>262</v>
      </c>
      <c r="B13" s="27" t="s">
        <v>125</v>
      </c>
      <c r="C13" s="124" t="str">
        <f>IF($B$1=1,B13,A13)</f>
        <v>Solvensprocent</v>
      </c>
      <c r="D13" s="259">
        <v>22.7</v>
      </c>
      <c r="E13" s="259">
        <v>21</v>
      </c>
      <c r="F13" s="259">
        <v>21.2</v>
      </c>
      <c r="G13" s="259">
        <v>21.8</v>
      </c>
      <c r="H13" s="259">
        <v>21.3</v>
      </c>
      <c r="I13" s="259">
        <v>20.9</v>
      </c>
      <c r="J13" s="259">
        <v>21.6</v>
      </c>
      <c r="K13" s="259">
        <v>21.4</v>
      </c>
      <c r="L13" s="259">
        <v>22.6</v>
      </c>
      <c r="M13" s="259">
        <v>21.6</v>
      </c>
      <c r="N13" s="259">
        <v>21.1</v>
      </c>
      <c r="O13" s="259">
        <v>20.4</v>
      </c>
      <c r="P13" s="259">
        <v>21.8</v>
      </c>
      <c r="Q13" s="259">
        <v>21</v>
      </c>
      <c r="R13" s="259">
        <v>21.1</v>
      </c>
      <c r="S13" s="259">
        <v>20.1</v>
      </c>
      <c r="T13" s="259">
        <v>21</v>
      </c>
      <c r="U13" s="259">
        <v>20.6</v>
      </c>
      <c r="V13" s="259">
        <v>18.7</v>
      </c>
      <c r="W13" s="259">
        <v>18.4</v>
      </c>
      <c r="X13" s="259">
        <v>19.3</v>
      </c>
      <c r="Y13" s="259">
        <v>19.3</v>
      </c>
      <c r="Z13" s="259">
        <v>18.6</v>
      </c>
      <c r="AA13" s="259">
        <v>18.1</v>
      </c>
      <c r="AB13" s="195">
        <v>21.4</v>
      </c>
      <c r="AC13" s="195">
        <v>19.1</v>
      </c>
      <c r="AD13" s="195">
        <v>21.8</v>
      </c>
      <c r="AE13" s="195">
        <v>21.6</v>
      </c>
      <c r="AF13" s="195">
        <v>21.3</v>
      </c>
      <c r="AG13" s="195">
        <v>19.4</v>
      </c>
      <c r="AH13" s="195">
        <v>17.7</v>
      </c>
      <c r="AI13" s="195">
        <v>17.6</v>
      </c>
      <c r="AJ13" s="195">
        <v>17.9</v>
      </c>
      <c r="AK13" s="195">
        <v>18</v>
      </c>
      <c r="AL13" s="195">
        <v>18.8</v>
      </c>
      <c r="AM13" s="195">
        <v>17.4</v>
      </c>
      <c r="AN13" s="195">
        <v>17.7</v>
      </c>
      <c r="AO13" s="195">
        <v>17.4</v>
      </c>
      <c r="AP13" s="195">
        <v>17.2</v>
      </c>
      <c r="AQ13" s="195">
        <v>17.9</v>
      </c>
      <c r="AR13" s="195">
        <v>17.8</v>
      </c>
      <c r="AS13" s="195">
        <v>16.3</v>
      </c>
      <c r="AT13" s="195">
        <v>16.1</v>
      </c>
      <c r="AU13" s="195">
        <v>12.9</v>
      </c>
      <c r="AV13" s="195">
        <v>13</v>
      </c>
      <c r="AW13" s="195">
        <v>13.9</v>
      </c>
      <c r="AX13" s="195">
        <v>14.1</v>
      </c>
      <c r="AY13" s="195">
        <v>13.6</v>
      </c>
      <c r="AZ13" s="195">
        <v>9.3</v>
      </c>
      <c r="BA13" s="204">
        <v>9.3</v>
      </c>
      <c r="BB13" s="204">
        <v>9.7</v>
      </c>
      <c r="BC13" s="204">
        <v>10.1</v>
      </c>
      <c r="BD13" s="195">
        <v>11.4</v>
      </c>
      <c r="BE13" s="182">
        <v>9.67</v>
      </c>
      <c r="BF13" s="126">
        <v>9.8</v>
      </c>
      <c r="BG13" s="126">
        <v>10.2</v>
      </c>
      <c r="BH13" s="126">
        <v>10.3</v>
      </c>
      <c r="BI13" s="126">
        <v>10.3</v>
      </c>
      <c r="BJ13" s="126">
        <v>9.4</v>
      </c>
      <c r="BK13" s="126">
        <v>9.1</v>
      </c>
      <c r="BL13" s="126">
        <v>9.7</v>
      </c>
      <c r="BM13" s="126">
        <v>10.2</v>
      </c>
      <c r="BN13" s="126">
        <v>10.2</v>
      </c>
      <c r="BO13" s="126">
        <v>10</v>
      </c>
      <c r="BP13" s="126">
        <v>10.4</v>
      </c>
      <c r="BQ13" s="126">
        <v>10.3</v>
      </c>
      <c r="BR13" s="110"/>
      <c r="BS13" s="110"/>
      <c r="BT13" s="127"/>
    </row>
    <row r="14" spans="1:72" ht="15" customHeight="1">
      <c r="A14" s="27" t="s">
        <v>193</v>
      </c>
      <c r="B14" s="27" t="s">
        <v>252</v>
      </c>
      <c r="C14" s="124" t="str">
        <f t="shared" si="0"/>
        <v>Omkostninger i pct. af indtægter</v>
      </c>
      <c r="D14" s="259">
        <v>68.6</v>
      </c>
      <c r="E14" s="259">
        <v>60.8</v>
      </c>
      <c r="F14" s="259">
        <v>57.9</v>
      </c>
      <c r="G14" s="259">
        <v>56.9</v>
      </c>
      <c r="H14" s="259">
        <v>57.1</v>
      </c>
      <c r="I14" s="259">
        <v>66.4</v>
      </c>
      <c r="J14" s="259">
        <v>53.2</v>
      </c>
      <c r="K14" s="259">
        <v>49</v>
      </c>
      <c r="L14" s="259">
        <v>47.1</v>
      </c>
      <c r="M14" s="259">
        <v>47.5</v>
      </c>
      <c r="N14" s="259">
        <v>49.1</v>
      </c>
      <c r="O14" s="259">
        <v>45.3</v>
      </c>
      <c r="P14" s="259">
        <v>46.9</v>
      </c>
      <c r="Q14" s="259">
        <v>45.4</v>
      </c>
      <c r="R14" s="259">
        <v>50.3</v>
      </c>
      <c r="S14" s="259">
        <v>46.3</v>
      </c>
      <c r="T14" s="259">
        <v>54.1</v>
      </c>
      <c r="U14" s="259">
        <v>54.5</v>
      </c>
      <c r="V14" s="259">
        <v>50</v>
      </c>
      <c r="W14" s="259">
        <v>46</v>
      </c>
      <c r="X14" s="259">
        <v>54.1</v>
      </c>
      <c r="Y14" s="259">
        <v>50.6</v>
      </c>
      <c r="Z14" s="259">
        <v>48.5</v>
      </c>
      <c r="AA14" s="259">
        <v>52.8</v>
      </c>
      <c r="AB14" s="195">
        <v>61.1</v>
      </c>
      <c r="AC14" s="195">
        <v>60.3</v>
      </c>
      <c r="AD14" s="195">
        <v>60.5</v>
      </c>
      <c r="AE14" s="195">
        <v>57.6</v>
      </c>
      <c r="AF14" s="195">
        <v>57.6</v>
      </c>
      <c r="AG14" s="195">
        <v>52.8</v>
      </c>
      <c r="AH14" s="195">
        <v>51.8</v>
      </c>
      <c r="AI14" s="195">
        <v>53.7</v>
      </c>
      <c r="AJ14" s="195">
        <v>54.4</v>
      </c>
      <c r="AK14" s="195">
        <v>66.2</v>
      </c>
      <c r="AL14" s="195">
        <v>58</v>
      </c>
      <c r="AM14" s="195">
        <v>62.9</v>
      </c>
      <c r="AN14" s="195">
        <v>59.3</v>
      </c>
      <c r="AO14" s="195">
        <v>56</v>
      </c>
      <c r="AP14" s="195">
        <v>56.7</v>
      </c>
      <c r="AQ14" s="195">
        <v>53.1</v>
      </c>
      <c r="AR14" s="195">
        <v>53.4</v>
      </c>
      <c r="AS14" s="195">
        <v>46.6</v>
      </c>
      <c r="AT14" s="195">
        <v>56.3</v>
      </c>
      <c r="AU14" s="195">
        <v>40.1</v>
      </c>
      <c r="AV14" s="195">
        <v>82.8</v>
      </c>
      <c r="AW14" s="195">
        <v>63.5</v>
      </c>
      <c r="AX14" s="195">
        <v>57.3</v>
      </c>
      <c r="AY14" s="195">
        <v>61.5</v>
      </c>
      <c r="AZ14" s="195">
        <v>58.6</v>
      </c>
      <c r="BA14" s="204">
        <v>53.1</v>
      </c>
      <c r="BB14" s="204">
        <v>57.4</v>
      </c>
      <c r="BC14" s="204">
        <v>53.4</v>
      </c>
      <c r="BD14" s="195">
        <v>50.8</v>
      </c>
      <c r="BE14" s="182">
        <v>48.1</v>
      </c>
      <c r="BF14" s="126">
        <v>56.2</v>
      </c>
      <c r="BG14" s="126">
        <v>53.4</v>
      </c>
      <c r="BH14" s="126">
        <v>52.4</v>
      </c>
      <c r="BI14" s="126">
        <v>54.1</v>
      </c>
      <c r="BJ14" s="126">
        <v>52.2</v>
      </c>
      <c r="BK14" s="126">
        <v>53.8</v>
      </c>
      <c r="BL14" s="126">
        <v>49.2</v>
      </c>
      <c r="BM14" s="126">
        <v>52.7</v>
      </c>
      <c r="BN14" s="126">
        <v>51.3</v>
      </c>
      <c r="BO14" s="126">
        <v>51.9</v>
      </c>
      <c r="BP14" s="126">
        <v>56.4</v>
      </c>
      <c r="BQ14" s="126">
        <v>51.8</v>
      </c>
      <c r="BT14" s="115"/>
    </row>
    <row r="15" spans="1:72" ht="15" customHeight="1">
      <c r="A15" s="27" t="s">
        <v>296</v>
      </c>
      <c r="B15" s="27" t="s">
        <v>287</v>
      </c>
      <c r="C15" s="124" t="str">
        <f t="shared" si="0"/>
        <v>Tab-hensættelsesprocent, core aktiviteter, p.a. (bp)</v>
      </c>
      <c r="D15" s="260">
        <v>15</v>
      </c>
      <c r="E15" s="260">
        <v>7</v>
      </c>
      <c r="F15" s="260">
        <v>2</v>
      </c>
      <c r="G15" s="260">
        <v>8</v>
      </c>
      <c r="H15" s="260">
        <v>-1</v>
      </c>
      <c r="I15" s="260">
        <v>2</v>
      </c>
      <c r="J15" s="260">
        <v>-8</v>
      </c>
      <c r="K15" s="260">
        <v>-7</v>
      </c>
      <c r="L15" s="260">
        <v>-5</v>
      </c>
      <c r="M15" s="260">
        <v>-3</v>
      </c>
      <c r="N15" s="260">
        <v>-5</v>
      </c>
      <c r="O15" s="260">
        <v>-5</v>
      </c>
      <c r="P15" s="260">
        <v>-3</v>
      </c>
      <c r="Q15" s="260">
        <v>5</v>
      </c>
      <c r="R15" s="260">
        <v>0</v>
      </c>
      <c r="S15" s="260">
        <v>-3</v>
      </c>
      <c r="T15" s="260">
        <v>-3</v>
      </c>
      <c r="U15" s="260">
        <v>-2</v>
      </c>
      <c r="V15" s="260">
        <v>-5</v>
      </c>
      <c r="W15" s="260">
        <v>11</v>
      </c>
      <c r="X15" s="260">
        <v>18</v>
      </c>
      <c r="Y15" s="260">
        <v>14</v>
      </c>
      <c r="Z15" s="260">
        <v>13</v>
      </c>
      <c r="AA15" s="260">
        <v>14</v>
      </c>
      <c r="AB15" s="251">
        <v>20</v>
      </c>
      <c r="AC15" s="251">
        <v>20</v>
      </c>
      <c r="AD15" s="251">
        <v>17</v>
      </c>
      <c r="AE15" s="251">
        <v>30</v>
      </c>
      <c r="AF15" s="251">
        <v>31</v>
      </c>
      <c r="AG15" s="251">
        <v>32</v>
      </c>
      <c r="AH15" s="251">
        <v>34</v>
      </c>
      <c r="AI15" s="251">
        <v>60</v>
      </c>
      <c r="AJ15" s="195"/>
      <c r="AK15" s="195"/>
      <c r="AL15" s="195"/>
      <c r="AM15" s="195"/>
      <c r="AN15" s="195"/>
      <c r="AO15" s="195"/>
      <c r="AP15" s="195"/>
      <c r="AQ15" s="195"/>
      <c r="AR15" s="195"/>
      <c r="AS15" s="195"/>
      <c r="AT15" s="195"/>
      <c r="AU15" s="195"/>
      <c r="AV15" s="195"/>
      <c r="AW15" s="195"/>
      <c r="AX15" s="195"/>
      <c r="AY15" s="195"/>
      <c r="AZ15" s="195"/>
      <c r="BA15" s="204"/>
      <c r="BB15" s="204"/>
      <c r="BC15" s="204"/>
      <c r="BD15" s="195"/>
      <c r="BE15" s="182"/>
      <c r="BF15" s="126"/>
      <c r="BG15" s="126"/>
      <c r="BH15" s="126"/>
      <c r="BI15" s="126"/>
      <c r="BJ15" s="126"/>
      <c r="BK15" s="126"/>
      <c r="BL15" s="126"/>
      <c r="BM15" s="126"/>
      <c r="BN15" s="126"/>
      <c r="BO15" s="126"/>
      <c r="BP15" s="126"/>
      <c r="BQ15" s="126"/>
      <c r="BT15" s="115"/>
    </row>
    <row r="16" spans="1:72" ht="15" customHeight="1">
      <c r="A16" s="27" t="s">
        <v>293</v>
      </c>
      <c r="B16" s="27" t="s">
        <v>286</v>
      </c>
      <c r="C16" s="124" t="str">
        <f>IF($B$1=1,B16,A16)</f>
        <v>Tab-hensættelsesprocent, total, p.a. (bp)</v>
      </c>
      <c r="D16" s="260">
        <v>13</v>
      </c>
      <c r="E16" s="260">
        <v>6</v>
      </c>
      <c r="F16" s="260">
        <v>5</v>
      </c>
      <c r="G16" s="260">
        <v>13</v>
      </c>
      <c r="H16" s="260">
        <v>-1</v>
      </c>
      <c r="I16" s="260">
        <v>2</v>
      </c>
      <c r="J16" s="260">
        <v>-9</v>
      </c>
      <c r="K16" s="260">
        <v>-8</v>
      </c>
      <c r="L16" s="260">
        <v>-14</v>
      </c>
      <c r="M16" s="260">
        <v>-8</v>
      </c>
      <c r="N16" s="260">
        <v>-5</v>
      </c>
      <c r="O16" s="260">
        <v>-5</v>
      </c>
      <c r="P16" s="260">
        <v>-5</v>
      </c>
      <c r="Q16" s="260">
        <v>5</v>
      </c>
      <c r="R16" s="260">
        <v>-1</v>
      </c>
      <c r="S16" s="260">
        <v>-3</v>
      </c>
      <c r="T16" s="260">
        <v>-4</v>
      </c>
      <c r="U16" s="260">
        <v>-1</v>
      </c>
      <c r="V16" s="260">
        <v>-5</v>
      </c>
      <c r="W16" s="260">
        <v>8</v>
      </c>
      <c r="X16" s="260">
        <v>26</v>
      </c>
      <c r="Y16" s="260">
        <v>17</v>
      </c>
      <c r="Z16" s="260">
        <v>15</v>
      </c>
      <c r="AA16" s="260">
        <v>20</v>
      </c>
      <c r="AB16" s="251">
        <v>23</v>
      </c>
      <c r="AC16" s="251">
        <v>24</v>
      </c>
      <c r="AD16" s="251">
        <v>23</v>
      </c>
      <c r="AE16" s="251">
        <v>41</v>
      </c>
      <c r="AF16" s="251">
        <v>54</v>
      </c>
      <c r="AG16" s="251">
        <v>55</v>
      </c>
      <c r="AH16" s="251">
        <v>62.02073076339959</v>
      </c>
      <c r="AI16" s="251">
        <v>79</v>
      </c>
      <c r="AJ16" s="251">
        <v>99.13112777441408</v>
      </c>
      <c r="AK16" s="251">
        <v>57.41670914348799</v>
      </c>
      <c r="AL16" s="251">
        <v>57.06258281251376</v>
      </c>
      <c r="AM16" s="251">
        <v>58.625670656211305</v>
      </c>
      <c r="AN16" s="251">
        <v>61.65284198513054</v>
      </c>
      <c r="AO16" s="251">
        <v>62.54796214458562</v>
      </c>
      <c r="AP16" s="251">
        <v>72.09862113200431</v>
      </c>
      <c r="AQ16" s="251">
        <v>89.84251802947794</v>
      </c>
      <c r="AR16" s="251">
        <v>101.071526566525</v>
      </c>
      <c r="AS16" s="251">
        <v>123.68289703709834</v>
      </c>
      <c r="AT16" s="251">
        <v>127.62694740698089</v>
      </c>
      <c r="AU16" s="251">
        <v>150.1752530714565</v>
      </c>
      <c r="AV16" s="251">
        <v>171.13630581661587</v>
      </c>
      <c r="AW16" s="251">
        <v>33.79772679345733</v>
      </c>
      <c r="AX16" s="251">
        <v>10.83849598814587</v>
      </c>
      <c r="AY16" s="251">
        <v>10.904214921673738</v>
      </c>
      <c r="AZ16" s="251">
        <v>8.78527160531293</v>
      </c>
      <c r="BA16" s="251">
        <v>5.412671062958386</v>
      </c>
      <c r="BB16" s="251">
        <v>3.9881423592477234</v>
      </c>
      <c r="BC16" s="251">
        <v>-3.9249431792811507</v>
      </c>
      <c r="BD16" s="251">
        <v>1.3909609202688658</v>
      </c>
      <c r="BE16" s="252">
        <v>-1.6035646298448138</v>
      </c>
      <c r="BF16" s="253">
        <v>-8.886269122824663</v>
      </c>
      <c r="BG16" s="253">
        <v>-3.6605550173554633</v>
      </c>
      <c r="BH16" s="253">
        <v>-22.08710876875987</v>
      </c>
      <c r="BI16" s="253">
        <v>-1.8089595180702132</v>
      </c>
      <c r="BJ16" s="253">
        <v>-2.8950521657695174</v>
      </c>
      <c r="BK16" s="253">
        <v>-4.146056351815916</v>
      </c>
      <c r="BL16" s="253">
        <v>-2.4937655860349124</v>
      </c>
      <c r="BM16" s="253">
        <v>7.220338983050848</v>
      </c>
      <c r="BN16" s="253">
        <v>10.13054830287206</v>
      </c>
      <c r="BO16" s="253">
        <v>11.989100817438691</v>
      </c>
      <c r="BP16" s="253">
        <v>0.1</v>
      </c>
      <c r="BQ16" s="253">
        <v>0.11</v>
      </c>
      <c r="BT16" s="115"/>
    </row>
    <row r="17" spans="2:70" ht="15" customHeight="1">
      <c r="B17" s="27"/>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R17" s="115"/>
    </row>
    <row r="18" spans="3:70" ht="15" customHeight="1">
      <c r="C18" s="254" t="s">
        <v>290</v>
      </c>
      <c r="D18" s="254"/>
      <c r="E18" s="254"/>
      <c r="F18" s="254"/>
      <c r="G18" s="254"/>
      <c r="H18" s="254"/>
      <c r="I18" s="254"/>
      <c r="J18" s="254"/>
      <c r="K18" s="254"/>
      <c r="L18" s="254"/>
      <c r="M18" s="254"/>
      <c r="N18" s="254"/>
      <c r="O18" s="254"/>
      <c r="P18" s="254"/>
      <c r="Q18" s="254"/>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124"/>
      <c r="BB18" s="124"/>
      <c r="BC18" s="124"/>
      <c r="BD18" s="124"/>
      <c r="BE18" s="124"/>
      <c r="BF18" s="124"/>
      <c r="BG18" s="124"/>
      <c r="BH18" s="124"/>
      <c r="BI18" s="124"/>
      <c r="BJ18" s="124"/>
      <c r="BK18" s="124"/>
      <c r="BL18" s="124"/>
      <c r="BM18" s="124"/>
      <c r="BN18" s="124"/>
      <c r="BO18" s="124"/>
      <c r="BP18" s="115"/>
      <c r="BQ18" s="115"/>
      <c r="BR18" s="115"/>
    </row>
    <row r="19" spans="3:70" ht="15" customHeight="1">
      <c r="C19" s="254" t="s">
        <v>291</v>
      </c>
      <c r="D19" s="254"/>
      <c r="E19" s="254"/>
      <c r="F19" s="254"/>
      <c r="G19" s="254"/>
      <c r="H19" s="254"/>
      <c r="I19" s="254"/>
      <c r="J19" s="254"/>
      <c r="K19" s="254"/>
      <c r="L19" s="254"/>
      <c r="M19" s="254"/>
      <c r="N19" s="254"/>
      <c r="O19" s="254"/>
      <c r="P19" s="254"/>
      <c r="Q19" s="254"/>
      <c r="R19" s="129"/>
      <c r="S19" s="129"/>
      <c r="T19" s="129"/>
      <c r="U19" s="129"/>
      <c r="V19" s="129"/>
      <c r="W19" s="129"/>
      <c r="X19" s="129"/>
      <c r="Y19" s="129"/>
      <c r="Z19" s="129"/>
      <c r="AA19" s="129"/>
      <c r="AB19" s="129"/>
      <c r="AC19" s="129"/>
      <c r="AD19" s="129"/>
      <c r="AE19" s="129"/>
      <c r="AF19" s="129"/>
      <c r="AG19" s="129"/>
      <c r="AH19" s="246"/>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15"/>
      <c r="BQ19" s="115"/>
      <c r="BR19" s="115"/>
    </row>
    <row r="20" spans="3:70" ht="15" customHeight="1">
      <c r="C20" s="203" t="s">
        <v>288</v>
      </c>
      <c r="D20" s="203"/>
      <c r="E20" s="203"/>
      <c r="F20" s="203"/>
      <c r="G20" s="203"/>
      <c r="H20" s="203"/>
      <c r="I20" s="203"/>
      <c r="J20" s="203"/>
      <c r="K20" s="203"/>
      <c r="L20" s="203"/>
      <c r="M20" s="203"/>
      <c r="N20" s="203"/>
      <c r="O20" s="203"/>
      <c r="P20" s="203"/>
      <c r="Q20" s="203"/>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15"/>
      <c r="BQ20" s="115"/>
      <c r="BR20" s="115"/>
    </row>
    <row r="21" spans="3:70" ht="15" customHeight="1">
      <c r="C21" s="255" t="s">
        <v>289</v>
      </c>
      <c r="D21" s="269"/>
      <c r="E21" s="269"/>
      <c r="F21" s="269"/>
      <c r="G21" s="269"/>
      <c r="H21" s="269"/>
      <c r="I21" s="269"/>
      <c r="J21" s="269"/>
      <c r="K21" s="269"/>
      <c r="L21" s="269"/>
      <c r="M21" s="269"/>
      <c r="N21" s="269"/>
      <c r="O21" s="269"/>
      <c r="P21" s="269"/>
      <c r="Q21" s="269"/>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15"/>
      <c r="BQ21" s="115"/>
      <c r="BR21" s="115"/>
    </row>
    <row r="22" spans="18:70" ht="15" customHeight="1">
      <c r="R22" s="124"/>
      <c r="S22" s="124"/>
      <c r="T22" s="124"/>
      <c r="U22" s="124"/>
      <c r="V22" s="124"/>
      <c r="W22" s="124"/>
      <c r="X22" s="124"/>
      <c r="Y22" s="124"/>
      <c r="Z22" s="124"/>
      <c r="AA22" s="124"/>
      <c r="AB22" s="124"/>
      <c r="AC22" s="124"/>
      <c r="AD22" s="124"/>
      <c r="AE22" s="124"/>
      <c r="AF22" s="124"/>
      <c r="AG22" s="124"/>
      <c r="AH22" s="124"/>
      <c r="AI22" s="124"/>
      <c r="AJ22" s="124"/>
      <c r="BP22" s="115"/>
      <c r="BQ22" s="115"/>
      <c r="BR22" s="115"/>
    </row>
    <row r="23" spans="3:70" ht="15" customHeight="1">
      <c r="C23" s="203" t="s">
        <v>185</v>
      </c>
      <c r="D23" s="203"/>
      <c r="E23" s="203"/>
      <c r="F23" s="203"/>
      <c r="G23" s="203"/>
      <c r="H23" s="203"/>
      <c r="I23" s="203"/>
      <c r="J23" s="203"/>
      <c r="K23" s="203"/>
      <c r="L23" s="203"/>
      <c r="M23" s="203"/>
      <c r="N23" s="203"/>
      <c r="O23" s="203"/>
      <c r="P23" s="203"/>
      <c r="Q23" s="203"/>
      <c r="R23" s="115"/>
      <c r="S23" s="115"/>
      <c r="T23" s="115"/>
      <c r="U23" s="115"/>
      <c r="V23" s="115"/>
      <c r="W23" s="115"/>
      <c r="X23" s="115"/>
      <c r="Y23" s="115"/>
      <c r="Z23" s="115"/>
      <c r="AA23" s="115"/>
      <c r="AB23" s="115"/>
      <c r="AC23" s="115"/>
      <c r="AD23" s="115"/>
      <c r="AE23" s="115"/>
      <c r="AF23" s="115"/>
      <c r="AG23" s="115"/>
      <c r="AH23" s="115"/>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15"/>
      <c r="BQ23" s="115"/>
      <c r="BR23" s="115"/>
    </row>
    <row r="24" spans="3:70" ht="15" customHeight="1">
      <c r="C24" s="124"/>
      <c r="D24" s="124"/>
      <c r="E24" s="124"/>
      <c r="F24" s="124"/>
      <c r="G24" s="124"/>
      <c r="H24" s="124"/>
      <c r="I24" s="124"/>
      <c r="J24" s="124"/>
      <c r="K24" s="124"/>
      <c r="L24" s="124"/>
      <c r="M24" s="124"/>
      <c r="N24" s="124"/>
      <c r="O24" s="124"/>
      <c r="P24" s="124"/>
      <c r="Q24" s="124"/>
      <c r="R24" s="115"/>
      <c r="S24" s="115"/>
      <c r="T24" s="115"/>
      <c r="U24" s="115"/>
      <c r="V24" s="115"/>
      <c r="W24" s="115"/>
      <c r="X24" s="115"/>
      <c r="Y24" s="115"/>
      <c r="Z24" s="115"/>
      <c r="AA24" s="115"/>
      <c r="AB24" s="115"/>
      <c r="AC24" s="115"/>
      <c r="AD24" s="115"/>
      <c r="AE24" s="115"/>
      <c r="AF24" s="115"/>
      <c r="AG24" s="115"/>
      <c r="AH24" s="115"/>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15"/>
      <c r="BQ24" s="115"/>
      <c r="BR24" s="115"/>
    </row>
    <row r="25" spans="2:70" ht="15" customHeight="1">
      <c r="B25" s="27"/>
      <c r="C25" s="124"/>
      <c r="D25" s="124"/>
      <c r="E25" s="124"/>
      <c r="F25" s="124"/>
      <c r="G25" s="124"/>
      <c r="H25" s="124"/>
      <c r="I25" s="124"/>
      <c r="J25" s="124"/>
      <c r="K25" s="124"/>
      <c r="L25" s="124"/>
      <c r="M25" s="124"/>
      <c r="N25" s="124"/>
      <c r="O25" s="124"/>
      <c r="P25" s="124"/>
      <c r="Q25" s="124"/>
      <c r="R25" s="115"/>
      <c r="S25" s="115"/>
      <c r="T25" s="115"/>
      <c r="U25" s="115"/>
      <c r="V25" s="115"/>
      <c r="W25" s="115"/>
      <c r="X25" s="115"/>
      <c r="Y25" s="115"/>
      <c r="Z25" s="115"/>
      <c r="AA25" s="115"/>
      <c r="AB25" s="115"/>
      <c r="AC25" s="115"/>
      <c r="AD25" s="115"/>
      <c r="AE25" s="115"/>
      <c r="AF25" s="115"/>
      <c r="AG25" s="115"/>
      <c r="AH25" s="115"/>
      <c r="BP25" s="115"/>
      <c r="BQ25" s="115"/>
      <c r="BR25" s="115"/>
    </row>
    <row r="26" spans="2:67"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row>
    <row r="27" spans="2:74"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30"/>
      <c r="BQ27" s="130"/>
      <c r="BR27" s="130"/>
      <c r="BS27" s="130"/>
      <c r="BT27" s="130"/>
      <c r="BU27" s="130"/>
      <c r="BV27" s="130"/>
    </row>
    <row r="28" spans="2:74"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30"/>
      <c r="BQ28" s="130"/>
      <c r="BR28" s="130"/>
      <c r="BS28" s="130"/>
      <c r="BT28" s="130"/>
      <c r="BU28" s="130"/>
      <c r="BV28" s="130"/>
    </row>
    <row r="29" spans="2:74" ht="15" customHeight="1">
      <c r="B29" s="27"/>
      <c r="C29" s="124"/>
      <c r="D29" s="124"/>
      <c r="E29" s="124"/>
      <c r="F29" s="124"/>
      <c r="G29" s="124"/>
      <c r="H29" s="124"/>
      <c r="I29" s="124"/>
      <c r="J29" s="124"/>
      <c r="K29" s="124"/>
      <c r="L29" s="124"/>
      <c r="M29" s="124"/>
      <c r="N29" s="124"/>
      <c r="O29" s="124"/>
      <c r="P29" s="124"/>
      <c r="Q29" s="124"/>
      <c r="R29" s="115"/>
      <c r="S29" s="115"/>
      <c r="T29" s="115"/>
      <c r="U29" s="115"/>
      <c r="V29" s="115"/>
      <c r="W29" s="115"/>
      <c r="X29" s="115"/>
      <c r="Y29" s="115"/>
      <c r="Z29" s="115"/>
      <c r="AA29" s="115"/>
      <c r="AB29" s="115"/>
      <c r="AC29" s="115"/>
      <c r="AD29" s="115"/>
      <c r="AE29" s="115"/>
      <c r="AF29" s="115"/>
      <c r="AG29" s="115"/>
      <c r="AH29" s="115"/>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30"/>
      <c r="BQ29" s="130"/>
      <c r="BR29" s="130"/>
      <c r="BS29" s="130"/>
      <c r="BT29" s="130"/>
      <c r="BU29" s="130"/>
      <c r="BV29" s="130"/>
    </row>
    <row r="30" spans="2:67" ht="15" customHeight="1">
      <c r="B30" s="27"/>
      <c r="C30" s="124"/>
      <c r="D30" s="124"/>
      <c r="E30" s="124"/>
      <c r="F30" s="124"/>
      <c r="G30" s="124"/>
      <c r="H30" s="124"/>
      <c r="I30" s="124"/>
      <c r="J30" s="124"/>
      <c r="K30" s="124"/>
      <c r="L30" s="124"/>
      <c r="M30" s="124"/>
      <c r="N30" s="124"/>
      <c r="O30" s="124"/>
      <c r="P30" s="124"/>
      <c r="Q30" s="124"/>
      <c r="R30" s="116"/>
      <c r="S30" s="116"/>
      <c r="T30" s="116"/>
      <c r="U30" s="116"/>
      <c r="V30" s="116"/>
      <c r="W30" s="116"/>
      <c r="X30" s="116"/>
      <c r="Y30" s="116"/>
      <c r="Z30" s="116"/>
      <c r="AA30" s="116"/>
      <c r="AB30" s="116"/>
      <c r="AC30" s="116"/>
      <c r="AD30" s="116"/>
      <c r="AE30" s="116"/>
      <c r="AF30" s="116"/>
      <c r="AG30" s="116"/>
      <c r="AH30" s="116"/>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row>
    <row r="31" spans="2:67" ht="15" customHeight="1">
      <c r="B31" s="27"/>
      <c r="C31" s="124"/>
      <c r="D31" s="124"/>
      <c r="E31" s="124"/>
      <c r="F31" s="124"/>
      <c r="G31" s="124"/>
      <c r="H31" s="124"/>
      <c r="I31" s="124"/>
      <c r="J31" s="124"/>
      <c r="K31" s="124"/>
      <c r="L31" s="124"/>
      <c r="M31" s="124"/>
      <c r="N31" s="124"/>
      <c r="O31" s="124"/>
      <c r="P31" s="124"/>
      <c r="Q31" s="124"/>
      <c r="R31" s="116"/>
      <c r="S31" s="116"/>
      <c r="T31" s="116"/>
      <c r="U31" s="116"/>
      <c r="V31" s="116"/>
      <c r="W31" s="116"/>
      <c r="X31" s="116"/>
      <c r="Y31" s="116"/>
      <c r="Z31" s="116"/>
      <c r="AA31" s="116"/>
      <c r="AB31" s="116"/>
      <c r="AC31" s="116"/>
      <c r="AD31" s="116"/>
      <c r="AE31" s="116"/>
      <c r="AF31" s="116"/>
      <c r="AG31" s="116"/>
      <c r="AH31" s="116"/>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row>
    <row r="32" spans="2:67" ht="15" customHeight="1">
      <c r="B32" s="27"/>
      <c r="C32" s="124"/>
      <c r="D32" s="124"/>
      <c r="E32" s="124"/>
      <c r="F32" s="124"/>
      <c r="G32" s="124"/>
      <c r="H32" s="124"/>
      <c r="I32" s="124"/>
      <c r="J32" s="124"/>
      <c r="K32" s="124"/>
      <c r="L32" s="124"/>
      <c r="M32" s="124"/>
      <c r="N32" s="124"/>
      <c r="O32" s="124"/>
      <c r="P32" s="124"/>
      <c r="Q32" s="124"/>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row>
    <row r="33" spans="2:67"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row>
    <row r="34" spans="2:67"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row>
    <row r="35" spans="2:67"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row>
    <row r="36" spans="2:67"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row>
    <row r="37" spans="2:67"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row>
    <row r="38" spans="2:67" ht="15" customHeight="1">
      <c r="B38" s="27"/>
      <c r="C38" s="124"/>
      <c r="D38" s="124"/>
      <c r="E38" s="124"/>
      <c r="F38" s="124"/>
      <c r="G38" s="124"/>
      <c r="H38" s="124"/>
      <c r="I38" s="124"/>
      <c r="J38" s="124"/>
      <c r="K38" s="124"/>
      <c r="L38" s="124"/>
      <c r="M38" s="124"/>
      <c r="N38" s="124"/>
      <c r="O38" s="124"/>
      <c r="P38" s="124"/>
      <c r="Q38" s="124"/>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row>
    <row r="39" spans="2:67"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row>
    <row r="40" spans="2:67"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row>
    <row r="41" spans="2:67"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row>
    <row r="42" spans="2:67" ht="15" customHeight="1">
      <c r="B42" s="27"/>
      <c r="C42" s="124"/>
      <c r="D42" s="124"/>
      <c r="E42" s="124"/>
      <c r="F42" s="124"/>
      <c r="G42" s="124"/>
      <c r="H42" s="124"/>
      <c r="I42" s="124"/>
      <c r="J42" s="124"/>
      <c r="K42" s="124"/>
      <c r="L42" s="124"/>
      <c r="M42" s="124"/>
      <c r="N42" s="124"/>
      <c r="O42" s="124"/>
      <c r="P42" s="124"/>
      <c r="Q42" s="124"/>
      <c r="R42" s="116"/>
      <c r="S42" s="116"/>
      <c r="T42" s="116"/>
      <c r="U42" s="116"/>
      <c r="V42" s="116"/>
      <c r="W42" s="116"/>
      <c r="X42" s="116"/>
      <c r="Y42" s="116"/>
      <c r="Z42" s="116"/>
      <c r="AA42" s="116"/>
      <c r="AB42" s="116"/>
      <c r="AC42" s="116"/>
      <c r="AD42" s="116"/>
      <c r="AE42" s="116"/>
      <c r="AF42" s="116"/>
      <c r="AG42" s="116"/>
      <c r="AH42" s="116"/>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row>
    <row r="43" spans="2:67" ht="15" customHeight="1">
      <c r="B43" s="27"/>
      <c r="C43" s="124"/>
      <c r="D43" s="124"/>
      <c r="E43" s="124"/>
      <c r="F43" s="124"/>
      <c r="G43" s="124"/>
      <c r="H43" s="124"/>
      <c r="I43" s="124"/>
      <c r="J43" s="124"/>
      <c r="K43" s="124"/>
      <c r="L43" s="124"/>
      <c r="M43" s="124"/>
      <c r="N43" s="124"/>
      <c r="O43" s="124"/>
      <c r="P43" s="124"/>
      <c r="Q43" s="124"/>
      <c r="R43" s="116"/>
      <c r="S43" s="116"/>
      <c r="T43" s="116"/>
      <c r="U43" s="116"/>
      <c r="V43" s="116"/>
      <c r="W43" s="116"/>
      <c r="X43" s="116"/>
      <c r="Y43" s="116"/>
      <c r="Z43" s="116"/>
      <c r="AA43" s="116"/>
      <c r="AB43" s="116"/>
      <c r="AC43" s="116"/>
      <c r="AD43" s="116"/>
      <c r="AE43" s="116"/>
      <c r="AF43" s="116"/>
      <c r="AG43" s="116"/>
      <c r="AH43" s="116"/>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row>
    <row r="44" spans="2:67" ht="15" customHeight="1">
      <c r="B44" s="27"/>
      <c r="C44" s="124"/>
      <c r="D44" s="124"/>
      <c r="E44" s="124"/>
      <c r="F44" s="124"/>
      <c r="G44" s="124"/>
      <c r="H44" s="124"/>
      <c r="I44" s="124"/>
      <c r="J44" s="124"/>
      <c r="K44" s="124"/>
      <c r="L44" s="124"/>
      <c r="M44" s="124"/>
      <c r="N44" s="124"/>
      <c r="O44" s="124"/>
      <c r="P44" s="124"/>
      <c r="Q44" s="124"/>
      <c r="R44" s="115"/>
      <c r="S44" s="115"/>
      <c r="T44" s="115"/>
      <c r="U44" s="115"/>
      <c r="V44" s="115"/>
      <c r="W44" s="115"/>
      <c r="X44" s="115"/>
      <c r="Y44" s="115"/>
      <c r="Z44" s="115"/>
      <c r="AA44" s="115"/>
      <c r="AB44" s="115"/>
      <c r="AC44" s="115"/>
      <c r="AD44" s="115"/>
      <c r="AE44" s="115"/>
      <c r="AF44" s="115"/>
      <c r="AG44" s="115"/>
      <c r="AH44" s="115"/>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row>
    <row r="45" spans="2:67" ht="15" customHeight="1">
      <c r="B45" s="27"/>
      <c r="C45" s="124"/>
      <c r="D45" s="124"/>
      <c r="E45" s="124"/>
      <c r="F45" s="124"/>
      <c r="G45" s="124"/>
      <c r="H45" s="124"/>
      <c r="I45" s="124"/>
      <c r="J45" s="124"/>
      <c r="K45" s="124"/>
      <c r="L45" s="124"/>
      <c r="M45" s="124"/>
      <c r="N45" s="124"/>
      <c r="O45" s="124"/>
      <c r="P45" s="124"/>
      <c r="Q45" s="124"/>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row>
    <row r="46" spans="2:67"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row>
    <row r="47" spans="2:67"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row>
    <row r="48" spans="2:67"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row>
    <row r="49" spans="2:67"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row>
    <row r="50" spans="2:67"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row>
    <row r="51" spans="2:67" ht="15" customHeight="1">
      <c r="B51" s="27"/>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row>
    <row r="52" spans="2:67"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row>
    <row r="53" spans="2:67"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row>
    <row r="54" spans="2:67"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row>
    <row r="55" spans="2:67"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row>
    <row r="56" spans="2:67"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row>
    <row r="57" spans="2:67"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row>
    <row r="58" spans="3:67"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row>
    <row r="59" spans="3:67"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row>
    <row r="60" spans="3:67"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row>
    <row r="61" spans="3:67"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row>
    <row r="62" spans="3:67"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row>
    <row r="63" spans="3:67"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row>
    <row r="64" spans="3:67"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row>
    <row r="65" spans="3:67"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row>
    <row r="66" spans="3:67"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row>
    <row r="67" spans="3:67"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row>
    <row r="68" spans="3:67"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row>
    <row r="69" spans="3:67"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row>
    <row r="70" spans="3:67"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row>
    <row r="71" spans="3:67"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row>
    <row r="72" spans="3:67"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row>
    <row r="73" spans="3:67"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row>
    <row r="74" spans="3:67"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row>
    <row r="75" spans="3:67"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row>
    <row r="76" spans="3:67"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row>
    <row r="77" spans="3:67"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row>
    <row r="78" spans="3:67"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row>
    <row r="79" spans="3:67"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row>
    <row r="80" spans="3:67"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row>
    <row r="81" spans="3:67"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row>
    <row r="82" spans="3:67"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row>
    <row r="83" spans="3:67"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row>
    <row r="84" spans="3:67"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row>
    <row r="85" spans="3:67"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row>
    <row r="86" spans="3:67"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row>
    <row r="87" spans="3:67"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row>
    <row r="88" spans="3:67"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row>
    <row r="89" spans="3:67"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row>
    <row r="90" spans="3:67"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row>
    <row r="91" spans="3:67"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row>
    <row r="92" spans="3:67"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row>
    <row r="93" spans="3:67"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row>
    <row r="94" spans="3:67"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row>
    <row r="95" spans="3:67"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row>
    <row r="96" spans="3:67"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row>
    <row r="97" spans="3:67"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row>
    <row r="98" spans="3:67"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row>
    <row r="99" spans="3:67"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row>
    <row r="100" spans="3:67"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row>
    <row r="101" spans="3:67"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row>
    <row r="102" spans="3:67"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row>
    <row r="103" spans="3:67"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row>
    <row r="104" spans="3:67"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row>
    <row r="105" spans="3:67"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row>
    <row r="106" spans="3:67"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row>
    <row r="107" spans="3:67"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row>
    <row r="108" spans="3:67"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row>
    <row r="109" spans="3:67"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row>
    <row r="110" spans="3:67"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row>
    <row r="111" spans="3:67"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row>
    <row r="112" spans="3:67"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row>
    <row r="113" spans="3:67"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row>
    <row r="114" spans="3:67"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row>
    <row r="115" spans="3:67"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row>
    <row r="116" spans="3:67"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row>
    <row r="117" spans="3:67"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row>
    <row r="118" spans="3:67"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row>
    <row r="119" spans="3:67"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row>
    <row r="120" spans="3:67"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row>
    <row r="121" spans="3:67"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row>
    <row r="122" spans="3:67"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row>
    <row r="123" spans="3:67"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row>
    <row r="124" spans="3:67"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row>
    <row r="125" spans="3:67"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row>
    <row r="126" spans="3:67"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row>
    <row r="127" spans="3:67"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row>
    <row r="128" spans="3:67"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row>
    <row r="129" spans="3:67"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row>
    <row r="130" spans="3:67"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row>
    <row r="131" spans="3:67"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row>
    <row r="132" spans="3:67"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row>
    <row r="133" spans="3:67"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row>
    <row r="134" spans="3:67"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row>
    <row r="135" spans="3:67"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row>
    <row r="136" spans="3:67"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row>
    <row r="137" spans="3:67"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row>
    <row r="138" spans="3:67"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row>
    <row r="139" spans="3:67"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row>
    <row r="140" spans="3:67"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row>
    <row r="141" spans="3:67"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row>
    <row r="142" spans="3:67"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row>
    <row r="143" spans="3:67"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2" r:id="rId2"/>
  <customProperties>
    <customPr name="EpmWorksheetKeyString_GUID" r:id="rId3"/>
  </customProperties>
  <ignoredErrors>
    <ignoredError sqref="BM6 BH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R148"/>
  <sheetViews>
    <sheetView zoomScalePageLayoutView="0" workbookViewId="0" topLeftCell="C1">
      <selection activeCell="C1" sqref="C1"/>
    </sheetView>
  </sheetViews>
  <sheetFormatPr defaultColWidth="15.00390625" defaultRowHeight="15" customHeight="1"/>
  <cols>
    <col min="1" max="1" width="30.28125" style="39" hidden="1" customWidth="1"/>
    <col min="2" max="2" width="30.28125" style="25" hidden="1" customWidth="1"/>
    <col min="3" max="3" width="82.140625" style="20" customWidth="1"/>
    <col min="4" max="16" width="18.421875" style="20" customWidth="1"/>
    <col min="17" max="17" width="17.00390625" style="20" customWidth="1"/>
    <col min="18" max="16384" width="15.00390625" style="20" customWidth="1"/>
  </cols>
  <sheetData>
    <row r="1" spans="1:17" ht="15" customHeight="1">
      <c r="A1" s="38" t="s">
        <v>102</v>
      </c>
      <c r="B1" s="24">
        <v>1</v>
      </c>
      <c r="Q1" s="33"/>
    </row>
    <row r="2" spans="1:19" ht="15" customHeight="1">
      <c r="A2" s="25" t="s">
        <v>27</v>
      </c>
      <c r="B2" s="25" t="s">
        <v>13</v>
      </c>
      <c r="C2" s="26" t="str">
        <f>IF($B$1=1,B2,A2)</f>
        <v>Arket indeholder følgende information:</v>
      </c>
      <c r="D2" s="26"/>
      <c r="E2" s="26"/>
      <c r="F2" s="26"/>
      <c r="G2" s="26"/>
      <c r="H2" s="26"/>
      <c r="I2" s="26"/>
      <c r="J2" s="26"/>
      <c r="K2" s="26"/>
      <c r="L2" s="26"/>
      <c r="M2" s="26"/>
      <c r="N2" s="26"/>
      <c r="O2" s="26"/>
      <c r="P2" s="26"/>
      <c r="Q2" s="26"/>
      <c r="R2" s="207"/>
      <c r="S2" s="207"/>
    </row>
    <row r="3" ht="15" customHeight="1">
      <c r="B3" s="25" t="s">
        <v>25</v>
      </c>
    </row>
    <row r="4" ht="15" customHeight="1">
      <c r="B4" s="25" t="s">
        <v>26</v>
      </c>
    </row>
    <row r="6" spans="1:43" ht="15" customHeight="1">
      <c r="A6" s="27" t="s">
        <v>142</v>
      </c>
      <c r="B6" s="25" t="s">
        <v>92</v>
      </c>
      <c r="C6" s="26" t="str">
        <f>IF($B$1=1,B6,A6)</f>
        <v>Aktiedata</v>
      </c>
      <c r="D6" s="172">
        <v>2019</v>
      </c>
      <c r="E6" s="172">
        <v>2018</v>
      </c>
      <c r="F6" s="172">
        <v>2017</v>
      </c>
      <c r="G6" s="172">
        <v>2016</v>
      </c>
      <c r="H6" s="172">
        <v>2015</v>
      </c>
      <c r="I6" s="172">
        <v>2014</v>
      </c>
      <c r="J6" s="172">
        <v>2013</v>
      </c>
      <c r="K6" s="172">
        <v>2012</v>
      </c>
      <c r="L6" s="172">
        <v>2011</v>
      </c>
      <c r="M6" s="172">
        <v>2010</v>
      </c>
      <c r="N6" s="172">
        <v>2009</v>
      </c>
      <c r="O6" s="172">
        <v>2008</v>
      </c>
      <c r="P6" s="172">
        <v>2007</v>
      </c>
      <c r="Q6" s="172">
        <v>2006</v>
      </c>
      <c r="R6" s="40">
        <v>2005</v>
      </c>
      <c r="S6" s="40" t="s">
        <v>106</v>
      </c>
      <c r="T6" s="40" t="s">
        <v>41</v>
      </c>
      <c r="U6" s="40" t="s">
        <v>8</v>
      </c>
      <c r="V6" s="40" t="s">
        <v>9</v>
      </c>
      <c r="W6" s="40" t="s">
        <v>10</v>
      </c>
      <c r="X6" s="40" t="s">
        <v>11</v>
      </c>
      <c r="Y6" s="40" t="s">
        <v>12</v>
      </c>
      <c r="AA6" s="276"/>
      <c r="AB6" s="276"/>
      <c r="AC6" s="275"/>
      <c r="AD6" s="275"/>
      <c r="AE6" s="275"/>
      <c r="AF6" s="275"/>
      <c r="AG6" s="22"/>
      <c r="AH6" s="22"/>
      <c r="AI6" s="22"/>
      <c r="AJ6" s="22"/>
      <c r="AK6" s="22"/>
      <c r="AL6" s="22"/>
      <c r="AN6" s="43"/>
      <c r="AO6" s="44"/>
      <c r="AP6" s="44"/>
      <c r="AQ6" s="44"/>
    </row>
    <row r="7" spans="1:43" s="32" customFormat="1" ht="15" customHeight="1">
      <c r="A7" s="45"/>
      <c r="B7" s="29"/>
      <c r="C7" s="30"/>
      <c r="D7" s="173"/>
      <c r="E7" s="173"/>
      <c r="F7" s="173"/>
      <c r="G7" s="173"/>
      <c r="H7" s="173"/>
      <c r="I7" s="173"/>
      <c r="J7" s="173"/>
      <c r="K7" s="173"/>
      <c r="L7" s="173"/>
      <c r="M7" s="173"/>
      <c r="N7" s="173"/>
      <c r="O7" s="173"/>
      <c r="P7" s="173"/>
      <c r="Q7" s="173"/>
      <c r="R7" s="46"/>
      <c r="S7" s="46"/>
      <c r="T7" s="46"/>
      <c r="U7" s="46"/>
      <c r="V7" s="47"/>
      <c r="W7" s="48"/>
      <c r="X7" s="48"/>
      <c r="Y7" s="46"/>
      <c r="AA7" s="53"/>
      <c r="AB7" s="53"/>
      <c r="AC7" s="50"/>
      <c r="AD7" s="50"/>
      <c r="AE7" s="51"/>
      <c r="AF7" s="52"/>
      <c r="AG7" s="53"/>
      <c r="AH7" s="53"/>
      <c r="AI7" s="53"/>
      <c r="AJ7" s="53"/>
      <c r="AK7" s="53"/>
      <c r="AL7" s="53"/>
      <c r="AN7" s="54"/>
      <c r="AO7" s="55"/>
      <c r="AP7" s="55"/>
      <c r="AQ7" s="55"/>
    </row>
    <row r="8" spans="1:44" ht="15" customHeight="1">
      <c r="A8" s="27" t="s">
        <v>235</v>
      </c>
      <c r="B8" s="27" t="s">
        <v>251</v>
      </c>
      <c r="C8" s="33" t="str">
        <f aca="true" t="shared" si="0" ref="C8:C16">IF($B$1=1,B8,A8)</f>
        <v>Børskurs, ultimo (kr.)</v>
      </c>
      <c r="D8" s="62">
        <v>107.8</v>
      </c>
      <c r="E8" s="62">
        <v>128.9</v>
      </c>
      <c r="F8" s="62">
        <v>241.6</v>
      </c>
      <c r="G8" s="62">
        <v>214.2</v>
      </c>
      <c r="H8" s="62">
        <v>185.2</v>
      </c>
      <c r="I8" s="62">
        <v>167.4</v>
      </c>
      <c r="J8" s="62">
        <v>124.4</v>
      </c>
      <c r="K8" s="62">
        <v>95.7</v>
      </c>
      <c r="L8" s="62">
        <v>73</v>
      </c>
      <c r="M8" s="62">
        <v>143</v>
      </c>
      <c r="N8" s="62">
        <v>118</v>
      </c>
      <c r="O8" s="62">
        <v>52</v>
      </c>
      <c r="P8" s="62">
        <v>199.8</v>
      </c>
      <c r="Q8" s="62">
        <v>250</v>
      </c>
      <c r="R8" s="35">
        <v>221.2</v>
      </c>
      <c r="S8" s="35">
        <v>167.5</v>
      </c>
      <c r="T8" s="35">
        <v>138.8</v>
      </c>
      <c r="U8" s="35">
        <v>117.4</v>
      </c>
      <c r="V8" s="63">
        <v>135.1</v>
      </c>
      <c r="W8" s="63">
        <v>141.8</v>
      </c>
      <c r="X8" s="63">
        <v>80.9</v>
      </c>
      <c r="Y8" s="63">
        <v>85.7</v>
      </c>
      <c r="Z8" s="70"/>
      <c r="AA8" s="22"/>
      <c r="AB8" s="22"/>
      <c r="AC8" s="60"/>
      <c r="AD8" s="60"/>
      <c r="AE8" s="76"/>
      <c r="AF8" s="93"/>
      <c r="AG8" s="22"/>
      <c r="AH8" s="22"/>
      <c r="AI8" s="61"/>
      <c r="AJ8" s="61"/>
      <c r="AK8" s="61"/>
      <c r="AL8" s="22"/>
      <c r="AN8" s="33"/>
      <c r="AO8" s="94"/>
      <c r="AP8" s="94"/>
      <c r="AQ8" s="94"/>
      <c r="AR8" s="22"/>
    </row>
    <row r="9" spans="1:38" ht="15" customHeight="1">
      <c r="A9" s="27" t="s">
        <v>234</v>
      </c>
      <c r="B9" s="27" t="s">
        <v>90</v>
      </c>
      <c r="C9" s="33" t="str">
        <f t="shared" si="0"/>
        <v>Periodens resultat pr. aktie (kr.)</v>
      </c>
      <c r="D9" s="62">
        <v>16.7</v>
      </c>
      <c r="E9" s="62">
        <v>16.5</v>
      </c>
      <c r="F9" s="62">
        <v>22.2</v>
      </c>
      <c r="G9" s="62">
        <v>20.2</v>
      </c>
      <c r="H9" s="62">
        <v>12.8</v>
      </c>
      <c r="I9" s="62">
        <v>3.8</v>
      </c>
      <c r="J9" s="62">
        <v>7.1</v>
      </c>
      <c r="K9" s="62">
        <v>5.1</v>
      </c>
      <c r="L9" s="62">
        <v>1.9</v>
      </c>
      <c r="M9" s="62">
        <v>5.3</v>
      </c>
      <c r="N9" s="62">
        <v>2.5</v>
      </c>
      <c r="O9" s="62">
        <v>1.5</v>
      </c>
      <c r="P9" s="62">
        <v>21.7</v>
      </c>
      <c r="Q9" s="62">
        <v>21.5</v>
      </c>
      <c r="R9" s="95">
        <v>20.4</v>
      </c>
      <c r="S9" s="95">
        <v>14.4</v>
      </c>
      <c r="T9" s="95">
        <v>13.3</v>
      </c>
      <c r="U9" s="95">
        <v>11.5</v>
      </c>
      <c r="V9" s="63">
        <v>11.9</v>
      </c>
      <c r="W9" s="63">
        <v>8.2</v>
      </c>
      <c r="X9" s="63">
        <v>9.4</v>
      </c>
      <c r="Y9" s="63">
        <v>7.5</v>
      </c>
      <c r="Z9" s="70"/>
      <c r="AA9" s="79"/>
      <c r="AB9" s="79"/>
      <c r="AC9" s="58"/>
      <c r="AD9" s="59"/>
      <c r="AE9" s="59"/>
      <c r="AF9" s="60"/>
      <c r="AG9" s="22"/>
      <c r="AH9" s="22"/>
      <c r="AI9" s="61"/>
      <c r="AJ9" s="61"/>
      <c r="AK9" s="61"/>
      <c r="AL9" s="22"/>
    </row>
    <row r="10" spans="1:38" ht="15" customHeight="1">
      <c r="A10" s="27" t="s">
        <v>196</v>
      </c>
      <c r="B10" s="27" t="s">
        <v>144</v>
      </c>
      <c r="C10" s="33" t="str">
        <f t="shared" si="0"/>
        <v>Børskurs (ultimo)/årets resultat pr. aktie (P/E)</v>
      </c>
      <c r="D10" s="62">
        <v>6.4</v>
      </c>
      <c r="E10" s="62">
        <v>8.8</v>
      </c>
      <c r="F10" s="62">
        <v>10.9</v>
      </c>
      <c r="G10" s="62">
        <v>10.6</v>
      </c>
      <c r="H10" s="62">
        <v>10.9</v>
      </c>
      <c r="I10" s="62">
        <v>44.6</v>
      </c>
      <c r="J10" s="62">
        <v>17.5</v>
      </c>
      <c r="K10" s="62">
        <v>18.9</v>
      </c>
      <c r="L10" s="62">
        <v>34.4</v>
      </c>
      <c r="M10" s="62">
        <v>27.3</v>
      </c>
      <c r="N10" s="62">
        <f>N8/N9</f>
        <v>47.2</v>
      </c>
      <c r="O10" s="62">
        <f>O8/O9</f>
        <v>34.666666666666664</v>
      </c>
      <c r="P10" s="62">
        <f>P8/P9</f>
        <v>9.207373271889402</v>
      </c>
      <c r="Q10" s="62">
        <f>Q8/Q9</f>
        <v>11.627906976744185</v>
      </c>
      <c r="R10" s="95">
        <v>10.843137254901961</v>
      </c>
      <c r="S10" s="95">
        <v>11.631944444444445</v>
      </c>
      <c r="T10" s="95">
        <v>10.43609022556391</v>
      </c>
      <c r="U10" s="95">
        <v>10.2</v>
      </c>
      <c r="V10" s="96">
        <v>11.4</v>
      </c>
      <c r="W10" s="96">
        <v>17.3</v>
      </c>
      <c r="X10" s="96">
        <v>8.6</v>
      </c>
      <c r="Y10" s="96">
        <v>11.4</v>
      </c>
      <c r="Z10" s="70"/>
      <c r="AA10" s="79"/>
      <c r="AB10" s="79"/>
      <c r="AC10" s="58"/>
      <c r="AD10" s="59"/>
      <c r="AE10" s="59"/>
      <c r="AF10" s="60"/>
      <c r="AG10" s="22"/>
      <c r="AH10" s="22"/>
      <c r="AI10" s="61"/>
      <c r="AJ10" s="61"/>
      <c r="AK10" s="61"/>
      <c r="AL10" s="22"/>
    </row>
    <row r="11" spans="1:37" s="21" customFormat="1" ht="15" customHeight="1">
      <c r="A11" s="27" t="s">
        <v>237</v>
      </c>
      <c r="B11" s="27" t="s">
        <v>78</v>
      </c>
      <c r="C11" s="33" t="str">
        <f t="shared" si="0"/>
        <v>Udbytte pr. aktie (kr.)</v>
      </c>
      <c r="D11" s="171">
        <v>8.5</v>
      </c>
      <c r="E11" s="171">
        <v>8.5</v>
      </c>
      <c r="F11" s="171">
        <v>10</v>
      </c>
      <c r="G11" s="171">
        <v>9</v>
      </c>
      <c r="H11" s="171">
        <v>8</v>
      </c>
      <c r="I11" s="171">
        <v>5.5</v>
      </c>
      <c r="J11" s="171">
        <v>2</v>
      </c>
      <c r="K11" s="214">
        <v>0</v>
      </c>
      <c r="L11" s="214">
        <v>0</v>
      </c>
      <c r="M11" s="214">
        <v>0</v>
      </c>
      <c r="N11" s="214">
        <v>0</v>
      </c>
      <c r="O11" s="214">
        <v>0</v>
      </c>
      <c r="P11" s="212">
        <v>8.5</v>
      </c>
      <c r="Q11" s="212">
        <v>7.75</v>
      </c>
      <c r="R11" s="57">
        <v>10</v>
      </c>
      <c r="S11" s="57">
        <v>7.85</v>
      </c>
      <c r="T11" s="57">
        <v>6.55</v>
      </c>
      <c r="U11" s="57">
        <v>4.75</v>
      </c>
      <c r="V11" s="57">
        <v>4.75</v>
      </c>
      <c r="W11" s="57">
        <v>4.4</v>
      </c>
      <c r="X11" s="57">
        <v>2.5</v>
      </c>
      <c r="Y11" s="57">
        <v>1.8</v>
      </c>
      <c r="Z11" s="70"/>
      <c r="AA11" s="65"/>
      <c r="AB11" s="65"/>
      <c r="AC11" s="64"/>
      <c r="AD11" s="64"/>
      <c r="AE11" s="64"/>
      <c r="AF11" s="58"/>
      <c r="AI11" s="65"/>
      <c r="AJ11" s="65"/>
      <c r="AK11" s="65"/>
    </row>
    <row r="12" spans="1:38" ht="15" customHeight="1">
      <c r="A12" s="27" t="s">
        <v>194</v>
      </c>
      <c r="B12" s="27" t="s">
        <v>143</v>
      </c>
      <c r="C12" s="33" t="str">
        <f t="shared" si="0"/>
        <v>Udbytte pr. aktie/børskurs ultimo (pct.)</v>
      </c>
      <c r="D12" s="171">
        <v>7.9</v>
      </c>
      <c r="E12" s="171">
        <v>6.6</v>
      </c>
      <c r="F12" s="171">
        <v>4.1</v>
      </c>
      <c r="G12" s="171">
        <v>4.2</v>
      </c>
      <c r="H12" s="171">
        <v>4.3</v>
      </c>
      <c r="I12" s="171">
        <v>3.3</v>
      </c>
      <c r="J12" s="171">
        <v>1.6</v>
      </c>
      <c r="K12" s="214">
        <v>0</v>
      </c>
      <c r="L12" s="214">
        <v>0</v>
      </c>
      <c r="M12" s="214">
        <v>0</v>
      </c>
      <c r="N12" s="214">
        <v>0</v>
      </c>
      <c r="O12" s="214">
        <v>0</v>
      </c>
      <c r="P12" s="171">
        <f>P11/P8*100</f>
        <v>4.2542542542542545</v>
      </c>
      <c r="Q12" s="171">
        <f>Q11/Q8*100</f>
        <v>3.1</v>
      </c>
      <c r="R12" s="95">
        <v>4.520795660036167</v>
      </c>
      <c r="S12" s="95">
        <v>4.686567164179104</v>
      </c>
      <c r="T12" s="95">
        <v>4.719020172910662</v>
      </c>
      <c r="U12" s="95">
        <v>4</v>
      </c>
      <c r="V12" s="96">
        <v>3.5</v>
      </c>
      <c r="W12" s="96">
        <v>3.1</v>
      </c>
      <c r="X12" s="96">
        <v>3.1</v>
      </c>
      <c r="Y12" s="96">
        <v>2.1</v>
      </c>
      <c r="Z12" s="70"/>
      <c r="AA12" s="61"/>
      <c r="AB12" s="61"/>
      <c r="AC12" s="66"/>
      <c r="AD12" s="66"/>
      <c r="AE12" s="66"/>
      <c r="AF12" s="60"/>
      <c r="AG12" s="22"/>
      <c r="AH12" s="22"/>
      <c r="AI12" s="61"/>
      <c r="AJ12" s="61"/>
      <c r="AK12" s="61"/>
      <c r="AL12" s="22"/>
    </row>
    <row r="13" spans="1:38" ht="15" customHeight="1">
      <c r="A13" s="27" t="s">
        <v>195</v>
      </c>
      <c r="B13" s="27" t="s">
        <v>123</v>
      </c>
      <c r="C13" s="33" t="str">
        <f t="shared" si="0"/>
        <v>Payout ratio (pct.)</v>
      </c>
      <c r="D13" s="214">
        <v>49</v>
      </c>
      <c r="E13" s="214">
        <v>50</v>
      </c>
      <c r="F13" s="214">
        <v>45</v>
      </c>
      <c r="G13" s="214">
        <v>45</v>
      </c>
      <c r="H13" s="214">
        <v>46</v>
      </c>
      <c r="I13" s="214">
        <v>43</v>
      </c>
      <c r="J13" s="214">
        <v>28</v>
      </c>
      <c r="K13" s="214">
        <v>0</v>
      </c>
      <c r="L13" s="214">
        <v>0</v>
      </c>
      <c r="M13" s="214">
        <v>0</v>
      </c>
      <c r="N13" s="214">
        <v>0</v>
      </c>
      <c r="O13" s="214">
        <v>0</v>
      </c>
      <c r="P13" s="198">
        <v>40</v>
      </c>
      <c r="Q13" s="198">
        <v>40</v>
      </c>
      <c r="R13" s="35">
        <v>50</v>
      </c>
      <c r="S13" s="35">
        <v>50</v>
      </c>
      <c r="T13" s="35">
        <v>50</v>
      </c>
      <c r="U13" s="35">
        <v>42</v>
      </c>
      <c r="V13" s="63">
        <v>40</v>
      </c>
      <c r="W13" s="63">
        <v>54</v>
      </c>
      <c r="X13" s="63">
        <v>26.6</v>
      </c>
      <c r="Y13" s="63">
        <v>24</v>
      </c>
      <c r="Z13" s="70"/>
      <c r="AA13" s="97"/>
      <c r="AB13" s="97"/>
      <c r="AC13" s="66"/>
      <c r="AD13" s="67"/>
      <c r="AE13" s="67"/>
      <c r="AF13" s="82"/>
      <c r="AG13" s="22"/>
      <c r="AH13" s="22"/>
      <c r="AI13" s="22"/>
      <c r="AJ13" s="22"/>
      <c r="AK13" s="22"/>
      <c r="AL13" s="22"/>
    </row>
    <row r="14" spans="1:38" ht="15" customHeight="1">
      <c r="A14" s="27" t="s">
        <v>238</v>
      </c>
      <c r="B14" s="27" t="s">
        <v>91</v>
      </c>
      <c r="C14" s="33" t="str">
        <f t="shared" si="0"/>
        <v>Indre værdi pr. aktie (kr.)</v>
      </c>
      <c r="D14" s="171">
        <v>183.1</v>
      </c>
      <c r="E14" s="171">
        <v>174.3</v>
      </c>
      <c r="F14" s="171">
        <v>172.2</v>
      </c>
      <c r="G14" s="171">
        <v>162.8</v>
      </c>
      <c r="H14" s="171">
        <v>153.2</v>
      </c>
      <c r="I14" s="171">
        <v>147.5</v>
      </c>
      <c r="J14" s="171">
        <v>145.6</v>
      </c>
      <c r="K14" s="171">
        <v>137.9</v>
      </c>
      <c r="L14" s="171">
        <v>135.7</v>
      </c>
      <c r="M14" s="171">
        <v>151.4</v>
      </c>
      <c r="N14" s="171">
        <v>145.8</v>
      </c>
      <c r="O14" s="171">
        <v>142.4</v>
      </c>
      <c r="P14" s="171">
        <v>152.7</v>
      </c>
      <c r="Q14" s="171">
        <f>95172000000/Q22</f>
        <v>139.08203422758123</v>
      </c>
      <c r="R14" s="95">
        <f>74089000000/R22</f>
        <v>118.21992140076985</v>
      </c>
      <c r="S14" s="95">
        <v>106.7</v>
      </c>
      <c r="T14" s="95">
        <v>89.9</v>
      </c>
      <c r="U14" s="95">
        <v>84.8</v>
      </c>
      <c r="V14" s="95">
        <v>78</v>
      </c>
      <c r="W14" s="95">
        <v>70.5</v>
      </c>
      <c r="X14" s="95">
        <v>57.5</v>
      </c>
      <c r="Y14" s="95">
        <v>57.3</v>
      </c>
      <c r="Z14" s="70"/>
      <c r="AA14" s="97"/>
      <c r="AB14" s="97"/>
      <c r="AC14" s="66"/>
      <c r="AD14" s="67"/>
      <c r="AE14" s="67"/>
      <c r="AF14" s="82"/>
      <c r="AG14" s="22"/>
      <c r="AH14" s="22"/>
      <c r="AI14" s="22"/>
      <c r="AJ14" s="22"/>
      <c r="AK14" s="22"/>
      <c r="AL14" s="22"/>
    </row>
    <row r="15" spans="1:38" ht="15" customHeight="1">
      <c r="A15" s="27" t="s">
        <v>275</v>
      </c>
      <c r="B15" s="27" t="s">
        <v>276</v>
      </c>
      <c r="C15" s="33" t="str">
        <f t="shared" si="0"/>
        <v>Indre værdi pr. aktie (kr.), justeret</v>
      </c>
      <c r="D15" s="171">
        <v>183.1</v>
      </c>
      <c r="E15" s="171">
        <v>174.3</v>
      </c>
      <c r="F15" s="171">
        <v>172.2</v>
      </c>
      <c r="G15" s="171">
        <v>162.8</v>
      </c>
      <c r="H15" s="171">
        <v>153.2</v>
      </c>
      <c r="I15" s="171">
        <v>147.5</v>
      </c>
      <c r="J15" s="171">
        <v>145.6</v>
      </c>
      <c r="K15" s="171">
        <v>137.9</v>
      </c>
      <c r="L15" s="171">
        <v>135.7</v>
      </c>
      <c r="M15" s="171">
        <v>140</v>
      </c>
      <c r="N15" s="171">
        <f>N14/1.0807</f>
        <v>134.91255667622838</v>
      </c>
      <c r="O15" s="171">
        <f>O14/1.0807</f>
        <v>131.76644767280467</v>
      </c>
      <c r="P15" s="171"/>
      <c r="Q15" s="171"/>
      <c r="R15" s="95"/>
      <c r="S15" s="95"/>
      <c r="T15" s="95"/>
      <c r="U15" s="95"/>
      <c r="V15" s="95"/>
      <c r="W15" s="95"/>
      <c r="X15" s="95"/>
      <c r="Y15" s="95"/>
      <c r="Z15" s="70"/>
      <c r="AA15" s="97"/>
      <c r="AB15" s="97"/>
      <c r="AC15" s="66"/>
      <c r="AD15" s="67"/>
      <c r="AE15" s="67"/>
      <c r="AF15" s="82"/>
      <c r="AG15" s="22"/>
      <c r="AH15" s="22"/>
      <c r="AI15" s="22"/>
      <c r="AJ15" s="22"/>
      <c r="AK15" s="22"/>
      <c r="AL15" s="22"/>
    </row>
    <row r="16" spans="1:38" ht="15" customHeight="1">
      <c r="A16" s="27" t="s">
        <v>197</v>
      </c>
      <c r="B16" s="27" t="s">
        <v>126</v>
      </c>
      <c r="C16" s="99" t="str">
        <f t="shared" si="0"/>
        <v>Kurs/indre værdi ultimo</v>
      </c>
      <c r="D16" s="197">
        <v>0.6</v>
      </c>
      <c r="E16" s="197">
        <v>0.7</v>
      </c>
      <c r="F16" s="197">
        <v>1.4</v>
      </c>
      <c r="G16" s="197">
        <v>1.3</v>
      </c>
      <c r="H16" s="197">
        <f>H8/H14</f>
        <v>1.2088772845953002</v>
      </c>
      <c r="I16" s="197">
        <f>I8/I14</f>
        <v>1.1349152542372882</v>
      </c>
      <c r="J16" s="197">
        <f>J8/J14</f>
        <v>0.8543956043956045</v>
      </c>
      <c r="K16" s="197">
        <f>K8/K14</f>
        <v>0.6939811457577955</v>
      </c>
      <c r="L16" s="197">
        <f aca="true" t="shared" si="1" ref="L16:R16">L8/L14</f>
        <v>0.5379513633014001</v>
      </c>
      <c r="M16" s="197">
        <f t="shared" si="1"/>
        <v>0.9445178335535006</v>
      </c>
      <c r="N16" s="197">
        <f t="shared" si="1"/>
        <v>0.8093278463648833</v>
      </c>
      <c r="O16" s="197">
        <f t="shared" si="1"/>
        <v>0.3651685393258427</v>
      </c>
      <c r="P16" s="197">
        <f t="shared" si="1"/>
        <v>1.3084479371316309</v>
      </c>
      <c r="Q16" s="197">
        <f t="shared" si="1"/>
        <v>1.7975003125919389</v>
      </c>
      <c r="R16" s="100">
        <f t="shared" si="1"/>
        <v>1.871089046406349</v>
      </c>
      <c r="S16" s="100">
        <v>1.569821930646673</v>
      </c>
      <c r="T16" s="100">
        <v>1.5439377085650723</v>
      </c>
      <c r="U16" s="100">
        <v>1.384433962264151</v>
      </c>
      <c r="V16" s="100">
        <v>1.732051282051282</v>
      </c>
      <c r="W16" s="100">
        <v>2.0113475177304965</v>
      </c>
      <c r="X16" s="100">
        <v>1.4069565217391304</v>
      </c>
      <c r="Y16" s="100">
        <v>1.4956369982547995</v>
      </c>
      <c r="Z16" s="70"/>
      <c r="AA16" s="97"/>
      <c r="AB16" s="97"/>
      <c r="AC16" s="66"/>
      <c r="AD16" s="67"/>
      <c r="AE16" s="67"/>
      <c r="AF16" s="60"/>
      <c r="AG16" s="22"/>
      <c r="AH16" s="22"/>
      <c r="AI16" s="22"/>
      <c r="AJ16" s="22"/>
      <c r="AK16" s="22"/>
      <c r="AL16" s="22"/>
    </row>
    <row r="17" spans="1:38" ht="15" customHeight="1">
      <c r="A17" s="27" t="s">
        <v>255</v>
      </c>
      <c r="B17" s="27" t="s">
        <v>127</v>
      </c>
      <c r="C17" s="33" t="str">
        <f aca="true" t="shared" si="2" ref="C17:C24">IF($B$1=1,B17,A17)</f>
        <v>Antal udstedte aktier primo</v>
      </c>
      <c r="D17" s="36">
        <v>895953621</v>
      </c>
      <c r="E17" s="36">
        <v>936827722</v>
      </c>
      <c r="F17" s="36">
        <v>983712835</v>
      </c>
      <c r="G17" s="36">
        <v>1008620000</v>
      </c>
      <c r="H17" s="36">
        <v>1008620000</v>
      </c>
      <c r="I17" s="36">
        <v>1008620000</v>
      </c>
      <c r="J17" s="36">
        <v>1008620000</v>
      </c>
      <c r="K17" s="36">
        <v>931739034</v>
      </c>
      <c r="L17" s="36">
        <v>698804276</v>
      </c>
      <c r="M17" s="36">
        <v>698804276</v>
      </c>
      <c r="N17" s="36">
        <v>698804276</v>
      </c>
      <c r="O17" s="36">
        <v>698804276</v>
      </c>
      <c r="P17" s="36">
        <v>698804276</v>
      </c>
      <c r="Q17" s="36">
        <v>638304276</v>
      </c>
      <c r="R17" s="34">
        <v>672265752</v>
      </c>
      <c r="S17" s="34">
        <v>711675849</v>
      </c>
      <c r="T17" s="34">
        <v>732000000</v>
      </c>
      <c r="U17" s="34">
        <v>732000000</v>
      </c>
      <c r="V17" s="34">
        <v>759219747</v>
      </c>
      <c r="W17" s="34">
        <v>529250000</v>
      </c>
      <c r="X17" s="34">
        <v>529250000</v>
      </c>
      <c r="Y17" s="34">
        <v>529250000</v>
      </c>
      <c r="Z17" s="70"/>
      <c r="AA17" s="97"/>
      <c r="AB17" s="97"/>
      <c r="AC17" s="66"/>
      <c r="AD17" s="67"/>
      <c r="AE17" s="67"/>
      <c r="AF17" s="60"/>
      <c r="AG17" s="22"/>
      <c r="AH17" s="22"/>
      <c r="AI17" s="22"/>
      <c r="AJ17" s="22"/>
      <c r="AK17" s="22"/>
      <c r="AL17" s="22"/>
    </row>
    <row r="18" spans="1:38" ht="15" customHeight="1">
      <c r="A18" s="27" t="s">
        <v>198</v>
      </c>
      <c r="B18" s="27" t="s">
        <v>162</v>
      </c>
      <c r="C18" s="33" t="str">
        <f>IF($B$1=1,B18,A18)</f>
        <v>Annullering af tilbagekøbte aktier/udstedelse af aktier</v>
      </c>
      <c r="D18" s="36">
        <v>-33769000</v>
      </c>
      <c r="E18" s="36">
        <v>-40874101</v>
      </c>
      <c r="F18" s="36">
        <v>-46885113</v>
      </c>
      <c r="G18" s="36">
        <v>-24907165</v>
      </c>
      <c r="H18" s="36">
        <v>0</v>
      </c>
      <c r="I18" s="36">
        <v>0</v>
      </c>
      <c r="J18" s="36">
        <v>0</v>
      </c>
      <c r="K18" s="36">
        <v>76880966</v>
      </c>
      <c r="L18" s="36">
        <v>232934758</v>
      </c>
      <c r="M18" s="196">
        <v>0</v>
      </c>
      <c r="N18" s="196">
        <v>0</v>
      </c>
      <c r="O18" s="196">
        <v>0</v>
      </c>
      <c r="P18" s="196">
        <v>0</v>
      </c>
      <c r="Q18" s="36">
        <v>60500000</v>
      </c>
      <c r="R18" s="37">
        <v>-33961476</v>
      </c>
      <c r="S18" s="37">
        <v>-39410097</v>
      </c>
      <c r="T18" s="37">
        <v>-20324151</v>
      </c>
      <c r="U18" s="37">
        <v>0</v>
      </c>
      <c r="V18" s="37">
        <v>-27219747</v>
      </c>
      <c r="W18" s="37">
        <v>0</v>
      </c>
      <c r="X18" s="37">
        <v>0</v>
      </c>
      <c r="Y18" s="37">
        <v>0</v>
      </c>
      <c r="Z18" s="70"/>
      <c r="AA18" s="97"/>
      <c r="AB18" s="97"/>
      <c r="AC18" s="66"/>
      <c r="AD18" s="67"/>
      <c r="AE18" s="67"/>
      <c r="AF18" s="60"/>
      <c r="AG18" s="22"/>
      <c r="AH18" s="22"/>
      <c r="AI18" s="22"/>
      <c r="AJ18" s="22"/>
      <c r="AK18" s="22"/>
      <c r="AL18" s="22"/>
    </row>
    <row r="19" spans="1:38" ht="15" customHeight="1">
      <c r="A19" s="27" t="s">
        <v>14</v>
      </c>
      <c r="B19" s="27" t="s">
        <v>156</v>
      </c>
      <c r="C19" s="33" t="str">
        <f t="shared" si="2"/>
        <v>Antal udstedte aktier ultimo</v>
      </c>
      <c r="D19" s="36">
        <f>D17+D18</f>
        <v>862184621</v>
      </c>
      <c r="E19" s="36">
        <f>E17+E18</f>
        <v>895953621</v>
      </c>
      <c r="F19" s="36">
        <f>F17+F18</f>
        <v>936827722</v>
      </c>
      <c r="G19" s="36">
        <f>G17+G18</f>
        <v>983712835</v>
      </c>
      <c r="H19" s="36">
        <v>1008620000</v>
      </c>
      <c r="I19" s="36">
        <v>1008620000</v>
      </c>
      <c r="J19" s="36">
        <v>1008620000</v>
      </c>
      <c r="K19" s="36">
        <v>1008620000</v>
      </c>
      <c r="L19" s="36">
        <v>931739034</v>
      </c>
      <c r="M19" s="36">
        <v>698804276</v>
      </c>
      <c r="N19" s="36">
        <v>698804276</v>
      </c>
      <c r="O19" s="36">
        <v>698804276</v>
      </c>
      <c r="P19" s="36">
        <v>698804276</v>
      </c>
      <c r="Q19" s="36">
        <v>698804276</v>
      </c>
      <c r="R19" s="37">
        <v>638304276</v>
      </c>
      <c r="S19" s="37">
        <v>672265752</v>
      </c>
      <c r="T19" s="37">
        <v>711675849</v>
      </c>
      <c r="U19" s="37">
        <v>732000000</v>
      </c>
      <c r="V19" s="37">
        <v>732000000</v>
      </c>
      <c r="W19" s="37">
        <v>759219747</v>
      </c>
      <c r="X19" s="37">
        <v>529250000</v>
      </c>
      <c r="Y19" s="37">
        <v>529250000</v>
      </c>
      <c r="Z19" s="70"/>
      <c r="AA19" s="97"/>
      <c r="AB19" s="97"/>
      <c r="AC19" s="66"/>
      <c r="AD19" s="67"/>
      <c r="AE19" s="67"/>
      <c r="AF19" s="60"/>
      <c r="AG19" s="22"/>
      <c r="AH19" s="22"/>
      <c r="AI19" s="22"/>
      <c r="AJ19" s="22"/>
      <c r="AK19" s="22"/>
      <c r="AL19" s="22"/>
    </row>
    <row r="20" spans="1:38" ht="15" customHeight="1">
      <c r="A20" s="27" t="s">
        <v>152</v>
      </c>
      <c r="B20" s="27" t="s">
        <v>154</v>
      </c>
      <c r="C20" s="33" t="str">
        <f t="shared" si="2"/>
        <v>Egne aktier i handelsportefølje</v>
      </c>
      <c r="D20" s="36">
        <v>2578835</v>
      </c>
      <c r="E20" s="36">
        <f>33769000+2746086</f>
        <v>36515086</v>
      </c>
      <c r="F20" s="36">
        <f>37515000-300000+2131110</f>
        <v>39346110</v>
      </c>
      <c r="G20" s="36">
        <v>44806059</v>
      </c>
      <c r="H20" s="36">
        <v>28437112</v>
      </c>
      <c r="I20" s="36">
        <v>4385823</v>
      </c>
      <c r="J20" s="36">
        <v>4327375</v>
      </c>
      <c r="K20" s="36">
        <v>3333343</v>
      </c>
      <c r="L20" s="36">
        <v>540255</v>
      </c>
      <c r="M20" s="36">
        <v>3364430</v>
      </c>
      <c r="N20" s="36">
        <v>3831953</v>
      </c>
      <c r="O20" s="36">
        <v>3997392</v>
      </c>
      <c r="P20" s="36">
        <v>8823904</v>
      </c>
      <c r="Q20" s="36">
        <v>8043661</v>
      </c>
      <c r="R20" s="36">
        <v>6253414</v>
      </c>
      <c r="S20" s="36">
        <v>5711861</v>
      </c>
      <c r="T20" s="36">
        <v>0</v>
      </c>
      <c r="U20" s="34">
        <v>0</v>
      </c>
      <c r="V20" s="37">
        <v>0</v>
      </c>
      <c r="W20" s="37">
        <v>0</v>
      </c>
      <c r="X20" s="37">
        <v>0</v>
      </c>
      <c r="Y20" s="37">
        <v>0</v>
      </c>
      <c r="Z20" s="70"/>
      <c r="AA20" s="97"/>
      <c r="AB20" s="97"/>
      <c r="AC20" s="66"/>
      <c r="AD20" s="67"/>
      <c r="AE20" s="67"/>
      <c r="AF20" s="60"/>
      <c r="AG20" s="22"/>
      <c r="AH20" s="22"/>
      <c r="AI20" s="22"/>
      <c r="AJ20" s="22"/>
      <c r="AK20" s="22"/>
      <c r="AL20" s="22"/>
    </row>
    <row r="21" spans="1:38" ht="15" customHeight="1">
      <c r="A21" s="27" t="s">
        <v>153</v>
      </c>
      <c r="B21" s="27" t="s">
        <v>155</v>
      </c>
      <c r="C21" s="33" t="str">
        <f t="shared" si="2"/>
        <v>Egne aktier i Danica og puljer</v>
      </c>
      <c r="D21" s="36">
        <v>5900871</v>
      </c>
      <c r="E21" s="36">
        <v>4643147</v>
      </c>
      <c r="F21" s="36">
        <v>3430790</v>
      </c>
      <c r="G21" s="36">
        <v>3646983</v>
      </c>
      <c r="H21" s="36">
        <v>4153082</v>
      </c>
      <c r="I21" s="36">
        <v>4843611</v>
      </c>
      <c r="J21" s="36">
        <v>3875247</v>
      </c>
      <c r="K21" s="36">
        <v>3592076</v>
      </c>
      <c r="L21" s="36">
        <v>4087281</v>
      </c>
      <c r="M21" s="36">
        <v>3648751</v>
      </c>
      <c r="N21" s="36">
        <v>4816997</v>
      </c>
      <c r="O21" s="36">
        <v>5003423</v>
      </c>
      <c r="P21" s="36">
        <v>6377122</v>
      </c>
      <c r="Q21" s="36">
        <v>6473816</v>
      </c>
      <c r="R21" s="34">
        <v>5345996</v>
      </c>
      <c r="S21" s="34">
        <v>4801894</v>
      </c>
      <c r="T21" s="101">
        <v>0</v>
      </c>
      <c r="U21" s="34">
        <v>0</v>
      </c>
      <c r="V21" s="37">
        <v>0</v>
      </c>
      <c r="W21" s="37">
        <v>0</v>
      </c>
      <c r="X21" s="37">
        <v>0</v>
      </c>
      <c r="Y21" s="37">
        <v>0</v>
      </c>
      <c r="Z21" s="70"/>
      <c r="AA21" s="97"/>
      <c r="AB21" s="97"/>
      <c r="AC21" s="66"/>
      <c r="AD21" s="67"/>
      <c r="AE21" s="67"/>
      <c r="AF21" s="60"/>
      <c r="AG21" s="22"/>
      <c r="AH21" s="22"/>
      <c r="AI21" s="22"/>
      <c r="AJ21" s="22"/>
      <c r="AK21" s="22"/>
      <c r="AL21" s="22"/>
    </row>
    <row r="22" spans="1:38" s="105" customFormat="1" ht="15" customHeight="1">
      <c r="A22" s="27" t="s">
        <v>150</v>
      </c>
      <c r="B22" s="27" t="s">
        <v>151</v>
      </c>
      <c r="C22" s="99" t="s">
        <v>150</v>
      </c>
      <c r="D22" s="102">
        <v>853704915</v>
      </c>
      <c r="E22" s="102">
        <v>854795388</v>
      </c>
      <c r="F22" s="102">
        <v>894050822</v>
      </c>
      <c r="G22" s="102">
        <f>G19-G20-G21</f>
        <v>935259793</v>
      </c>
      <c r="H22" s="102">
        <v>976029806</v>
      </c>
      <c r="I22" s="102">
        <v>999390566</v>
      </c>
      <c r="J22" s="102">
        <v>1000417378</v>
      </c>
      <c r="K22" s="102">
        <v>1001694581</v>
      </c>
      <c r="L22" s="102">
        <v>927111498</v>
      </c>
      <c r="M22" s="102">
        <v>691791095</v>
      </c>
      <c r="N22" s="102">
        <v>690155326</v>
      </c>
      <c r="O22" s="102">
        <v>689803461</v>
      </c>
      <c r="P22" s="102">
        <v>683603250</v>
      </c>
      <c r="Q22" s="102">
        <v>684286799</v>
      </c>
      <c r="R22" s="102">
        <v>626704866</v>
      </c>
      <c r="S22" s="102">
        <v>627790521</v>
      </c>
      <c r="T22" s="102">
        <v>672265752</v>
      </c>
      <c r="U22" s="102">
        <v>711675849</v>
      </c>
      <c r="V22" s="102">
        <v>732000000</v>
      </c>
      <c r="W22" s="102">
        <v>722633250</v>
      </c>
      <c r="X22" s="102">
        <v>529250000</v>
      </c>
      <c r="Y22" s="102">
        <v>529250000</v>
      </c>
      <c r="Z22" s="70"/>
      <c r="AA22" s="103"/>
      <c r="AB22" s="103"/>
      <c r="AC22" s="64"/>
      <c r="AD22" s="104"/>
      <c r="AE22" s="104"/>
      <c r="AF22" s="58"/>
      <c r="AG22" s="21"/>
      <c r="AH22" s="21"/>
      <c r="AI22" s="21"/>
      <c r="AJ22" s="21"/>
      <c r="AK22" s="21"/>
      <c r="AL22" s="21"/>
    </row>
    <row r="23" spans="1:38" ht="15" customHeight="1">
      <c r="A23" s="27" t="s">
        <v>239</v>
      </c>
      <c r="B23" s="27" t="s">
        <v>97</v>
      </c>
      <c r="C23" s="247" t="s">
        <v>239</v>
      </c>
      <c r="D23" s="36">
        <v>92029</v>
      </c>
      <c r="E23" s="36">
        <v>110184</v>
      </c>
      <c r="F23" s="36">
        <v>216003</v>
      </c>
      <c r="G23" s="36">
        <v>200333</v>
      </c>
      <c r="H23" s="36">
        <v>180761</v>
      </c>
      <c r="I23" s="36">
        <v>167298</v>
      </c>
      <c r="J23" s="36">
        <v>124452</v>
      </c>
      <c r="K23" s="36">
        <v>96205.93307490001</v>
      </c>
      <c r="L23" s="36">
        <v>67977.510867</v>
      </c>
      <c r="M23" s="36">
        <v>99447.897978</v>
      </c>
      <c r="N23" s="36">
        <v>82006.734114</v>
      </c>
      <c r="O23" s="36">
        <v>36129.957968</v>
      </c>
      <c r="P23" s="36">
        <v>137858.0783256</v>
      </c>
      <c r="Q23" s="36">
        <v>172690.15375</v>
      </c>
      <c r="R23" s="36">
        <v>139809.6506744</v>
      </c>
      <c r="S23" s="36">
        <v>105959.2295125</v>
      </c>
      <c r="T23" s="36">
        <v>93310.48637760001</v>
      </c>
      <c r="U23" s="36">
        <v>83550.7446726</v>
      </c>
      <c r="V23" s="36">
        <v>98893.2</v>
      </c>
      <c r="W23" s="36">
        <v>102469.39485000001</v>
      </c>
      <c r="X23" s="36">
        <v>42816.325</v>
      </c>
      <c r="Y23" s="36">
        <v>45356.725</v>
      </c>
      <c r="Z23" s="70"/>
      <c r="AA23" s="97"/>
      <c r="AB23" s="97"/>
      <c r="AC23" s="66"/>
      <c r="AD23" s="67"/>
      <c r="AE23" s="67"/>
      <c r="AF23" s="69"/>
      <c r="AG23" s="22"/>
      <c r="AH23" s="22"/>
      <c r="AI23" s="22"/>
      <c r="AJ23" s="22"/>
      <c r="AK23" s="22"/>
      <c r="AL23" s="22"/>
    </row>
    <row r="24" spans="1:38" ht="15" customHeight="1">
      <c r="A24" s="27" t="s">
        <v>192</v>
      </c>
      <c r="B24" s="27" t="s">
        <v>254</v>
      </c>
      <c r="C24" s="33" t="str">
        <f t="shared" si="2"/>
        <v>Årets resultat i pct. af gns. egenkapital</v>
      </c>
      <c r="D24" s="62">
        <v>9.6</v>
      </c>
      <c r="E24" s="62">
        <v>9.8</v>
      </c>
      <c r="F24" s="62">
        <v>13.6</v>
      </c>
      <c r="G24" s="62">
        <v>13.1</v>
      </c>
      <c r="H24" s="62">
        <v>8.5</v>
      </c>
      <c r="I24" s="62">
        <v>2.5</v>
      </c>
      <c r="J24" s="62">
        <v>5</v>
      </c>
      <c r="K24" s="62">
        <v>3.7</v>
      </c>
      <c r="L24" s="62">
        <v>1.4</v>
      </c>
      <c r="M24" s="62">
        <v>3.6</v>
      </c>
      <c r="N24" s="62">
        <v>1.7</v>
      </c>
      <c r="O24" s="62">
        <v>1</v>
      </c>
      <c r="P24" s="62">
        <v>15.1</v>
      </c>
      <c r="Q24" s="98">
        <v>17.5</v>
      </c>
      <c r="R24" s="98">
        <v>18.5</v>
      </c>
      <c r="S24" s="98">
        <v>13.9</v>
      </c>
      <c r="T24" s="106">
        <v>15.2</v>
      </c>
      <c r="U24" s="98">
        <v>14</v>
      </c>
      <c r="V24" s="92">
        <v>16</v>
      </c>
      <c r="W24" s="98">
        <v>11.5</v>
      </c>
      <c r="X24" s="92">
        <v>16.4</v>
      </c>
      <c r="Y24" s="98">
        <v>13.7</v>
      </c>
      <c r="Z24" s="70"/>
      <c r="AA24" s="97"/>
      <c r="AB24" s="97"/>
      <c r="AC24" s="66"/>
      <c r="AD24" s="67"/>
      <c r="AE24" s="67"/>
      <c r="AF24" s="60"/>
      <c r="AG24" s="22"/>
      <c r="AH24" s="22"/>
      <c r="AI24" s="22"/>
      <c r="AJ24" s="22"/>
      <c r="AK24" s="22"/>
      <c r="AL24" s="22"/>
    </row>
    <row r="25" spans="4:38" ht="15" customHeight="1">
      <c r="D25" s="33"/>
      <c r="E25" s="33"/>
      <c r="F25" s="33"/>
      <c r="G25" s="33"/>
      <c r="H25" s="33"/>
      <c r="I25" s="33"/>
      <c r="J25" s="33"/>
      <c r="K25" s="33"/>
      <c r="L25" s="33"/>
      <c r="M25" s="33"/>
      <c r="N25" s="33"/>
      <c r="O25" s="33"/>
      <c r="P25" s="33"/>
      <c r="Q25" s="33"/>
      <c r="R25" s="33"/>
      <c r="S25" s="33"/>
      <c r="T25" s="33"/>
      <c r="U25" s="70"/>
      <c r="V25" s="70"/>
      <c r="W25" s="70"/>
      <c r="X25" s="70"/>
      <c r="Y25" s="70"/>
      <c r="Z25" s="70"/>
      <c r="AA25" s="97"/>
      <c r="AB25" s="97"/>
      <c r="AC25" s="66"/>
      <c r="AD25" s="67"/>
      <c r="AE25" s="67"/>
      <c r="AF25" s="60"/>
      <c r="AG25" s="22"/>
      <c r="AH25" s="22"/>
      <c r="AI25" s="22"/>
      <c r="AJ25" s="22"/>
      <c r="AK25" s="22"/>
      <c r="AL25" s="22"/>
    </row>
    <row r="26" spans="3:38" ht="15" customHeight="1">
      <c r="C26" s="203" t="s">
        <v>185</v>
      </c>
      <c r="D26" s="33"/>
      <c r="E26" s="33"/>
      <c r="F26" s="33"/>
      <c r="G26" s="33"/>
      <c r="H26" s="33"/>
      <c r="I26" s="33"/>
      <c r="J26" s="33"/>
      <c r="K26" s="33"/>
      <c r="L26" s="33"/>
      <c r="M26" s="33"/>
      <c r="N26" s="33"/>
      <c r="O26" s="33"/>
      <c r="P26" s="33"/>
      <c r="Q26" s="33"/>
      <c r="R26" s="33"/>
      <c r="S26" s="33"/>
      <c r="T26" s="33"/>
      <c r="U26" s="70"/>
      <c r="V26" s="70"/>
      <c r="W26" s="70"/>
      <c r="X26" s="70"/>
      <c r="Y26" s="70"/>
      <c r="Z26" s="70"/>
      <c r="AA26" s="97"/>
      <c r="AB26" s="97"/>
      <c r="AC26" s="66"/>
      <c r="AD26" s="67"/>
      <c r="AE26" s="67"/>
      <c r="AF26" s="60"/>
      <c r="AG26" s="22"/>
      <c r="AH26" s="22"/>
      <c r="AI26" s="22"/>
      <c r="AJ26" s="22"/>
      <c r="AK26" s="22"/>
      <c r="AL26" s="22"/>
    </row>
    <row r="27" spans="3:38" ht="15" customHeight="1">
      <c r="C27" s="33"/>
      <c r="D27" s="33"/>
      <c r="E27" s="33"/>
      <c r="F27" s="33"/>
      <c r="G27" s="33"/>
      <c r="H27" s="33"/>
      <c r="I27" s="33"/>
      <c r="J27" s="33"/>
      <c r="K27" s="33"/>
      <c r="L27" s="33"/>
      <c r="M27" s="33"/>
      <c r="N27" s="33"/>
      <c r="O27" s="33"/>
      <c r="P27" s="33"/>
      <c r="Q27" s="33"/>
      <c r="R27" s="33"/>
      <c r="S27" s="33"/>
      <c r="T27" s="33"/>
      <c r="U27" s="70"/>
      <c r="V27" s="70"/>
      <c r="W27" s="70"/>
      <c r="X27" s="70"/>
      <c r="Y27" s="70"/>
      <c r="Z27" s="70"/>
      <c r="AA27" s="97"/>
      <c r="AB27" s="97"/>
      <c r="AC27" s="66"/>
      <c r="AD27" s="67"/>
      <c r="AE27" s="67"/>
      <c r="AF27" s="60"/>
      <c r="AG27" s="22"/>
      <c r="AH27" s="22"/>
      <c r="AI27" s="22"/>
      <c r="AJ27" s="22"/>
      <c r="AK27" s="22"/>
      <c r="AL27" s="22"/>
    </row>
    <row r="28" spans="3:38" ht="15" customHeight="1">
      <c r="C28" s="33"/>
      <c r="D28" s="33"/>
      <c r="E28" s="33"/>
      <c r="F28" s="33"/>
      <c r="G28" s="33"/>
      <c r="H28" s="33"/>
      <c r="I28" s="33"/>
      <c r="J28" s="33"/>
      <c r="K28" s="33"/>
      <c r="L28" s="33"/>
      <c r="M28" s="33"/>
      <c r="N28" s="33"/>
      <c r="O28" s="33"/>
      <c r="P28" s="33"/>
      <c r="Q28" s="33"/>
      <c r="R28" s="33"/>
      <c r="S28" s="33"/>
      <c r="T28" s="33"/>
      <c r="U28" s="70"/>
      <c r="V28" s="70"/>
      <c r="W28" s="70"/>
      <c r="X28" s="70"/>
      <c r="Y28" s="70"/>
      <c r="Z28" s="70"/>
      <c r="AA28" s="66"/>
      <c r="AB28" s="66"/>
      <c r="AC28" s="66"/>
      <c r="AD28" s="66"/>
      <c r="AE28" s="66"/>
      <c r="AF28" s="60"/>
      <c r="AG28" s="22"/>
      <c r="AH28" s="22"/>
      <c r="AI28" s="22"/>
      <c r="AJ28" s="22"/>
      <c r="AK28" s="22"/>
      <c r="AL28" s="22"/>
    </row>
    <row r="29" spans="3:38" ht="15" customHeight="1">
      <c r="C29" s="33"/>
      <c r="D29" s="33"/>
      <c r="E29" s="33"/>
      <c r="F29" s="33"/>
      <c r="G29" s="33"/>
      <c r="H29" s="33"/>
      <c r="I29" s="33"/>
      <c r="J29" s="33"/>
      <c r="K29" s="33"/>
      <c r="L29" s="33"/>
      <c r="M29" s="33"/>
      <c r="N29" s="33"/>
      <c r="O29" s="33"/>
      <c r="P29" s="33"/>
      <c r="Q29" s="33"/>
      <c r="R29" s="33"/>
      <c r="S29" s="33"/>
      <c r="T29" s="33"/>
      <c r="U29" s="70"/>
      <c r="V29" s="70"/>
      <c r="W29" s="70"/>
      <c r="X29" s="70"/>
      <c r="Y29" s="70"/>
      <c r="Z29" s="70"/>
      <c r="AA29" s="66"/>
      <c r="AB29" s="66"/>
      <c r="AC29" s="66"/>
      <c r="AD29" s="66"/>
      <c r="AE29" s="66"/>
      <c r="AF29" s="60"/>
      <c r="AG29" s="22"/>
      <c r="AH29" s="22"/>
      <c r="AI29" s="22"/>
      <c r="AJ29" s="22"/>
      <c r="AK29" s="22"/>
      <c r="AL29" s="22"/>
    </row>
    <row r="30" spans="3:38" ht="15" customHeight="1">
      <c r="C30" s="33"/>
      <c r="D30" s="33"/>
      <c r="E30" s="33"/>
      <c r="F30" s="33"/>
      <c r="G30" s="33"/>
      <c r="H30" s="33"/>
      <c r="I30" s="33"/>
      <c r="J30" s="33"/>
      <c r="K30" s="33"/>
      <c r="L30" s="33"/>
      <c r="M30" s="33"/>
      <c r="N30" s="33"/>
      <c r="O30" s="33"/>
      <c r="P30" s="33"/>
      <c r="Q30" s="33"/>
      <c r="R30" s="33"/>
      <c r="S30" s="33"/>
      <c r="T30" s="33"/>
      <c r="X30" s="22"/>
      <c r="Y30" s="22"/>
      <c r="Z30" s="73"/>
      <c r="AA30" s="73"/>
      <c r="AB30" s="73"/>
      <c r="AC30" s="74"/>
      <c r="AD30" s="74"/>
      <c r="AE30" s="74"/>
      <c r="AF30" s="60"/>
      <c r="AG30" s="22"/>
      <c r="AH30" s="22"/>
      <c r="AI30" s="22"/>
      <c r="AJ30" s="22"/>
      <c r="AK30" s="22"/>
      <c r="AL30" s="22"/>
    </row>
    <row r="31" spans="3:23" ht="15" customHeight="1">
      <c r="C31" s="33"/>
      <c r="D31" s="33"/>
      <c r="E31" s="33"/>
      <c r="F31" s="33"/>
      <c r="G31" s="33"/>
      <c r="H31" s="33"/>
      <c r="I31" s="33"/>
      <c r="J31" s="33"/>
      <c r="K31" s="33"/>
      <c r="L31" s="33"/>
      <c r="M31" s="33"/>
      <c r="N31" s="33"/>
      <c r="O31" s="33"/>
      <c r="P31" s="33"/>
      <c r="Q31" s="33"/>
      <c r="R31" s="33"/>
      <c r="S31" s="33"/>
      <c r="T31" s="33"/>
      <c r="U31" s="22"/>
      <c r="V31" s="22"/>
      <c r="W31" s="22"/>
    </row>
    <row r="32" spans="2:42" ht="15" customHeight="1">
      <c r="B32" s="27"/>
      <c r="C32" s="33"/>
      <c r="D32" s="33"/>
      <c r="E32" s="33"/>
      <c r="F32" s="33"/>
      <c r="G32" s="33"/>
      <c r="H32" s="33"/>
      <c r="I32" s="33"/>
      <c r="J32" s="33"/>
      <c r="K32" s="33"/>
      <c r="L32" s="33"/>
      <c r="M32" s="33"/>
      <c r="N32" s="33"/>
      <c r="O32" s="33"/>
      <c r="P32" s="33"/>
      <c r="Q32" s="33"/>
      <c r="R32" s="33"/>
      <c r="S32" s="33"/>
      <c r="T32" s="33"/>
      <c r="U32" s="75"/>
      <c r="V32" s="75"/>
      <c r="W32" s="75"/>
      <c r="X32" s="75"/>
      <c r="Y32" s="75"/>
      <c r="Z32" s="75"/>
      <c r="AA32" s="75"/>
      <c r="AB32" s="75"/>
      <c r="AC32" s="75"/>
      <c r="AD32" s="75"/>
      <c r="AE32" s="75"/>
      <c r="AF32" s="75"/>
      <c r="AG32" s="75"/>
      <c r="AH32" s="75"/>
      <c r="AI32" s="75"/>
      <c r="AJ32" s="75"/>
      <c r="AK32" s="75"/>
      <c r="AL32" s="75"/>
      <c r="AM32" s="75"/>
      <c r="AN32" s="75"/>
      <c r="AO32" s="75"/>
      <c r="AP32" s="75"/>
    </row>
    <row r="33" spans="2:42" ht="15" customHeight="1">
      <c r="B33" s="27"/>
      <c r="C33" s="33"/>
      <c r="D33" s="33"/>
      <c r="E33" s="33"/>
      <c r="F33" s="33"/>
      <c r="G33" s="33"/>
      <c r="H33" s="33"/>
      <c r="I33" s="33"/>
      <c r="J33" s="33"/>
      <c r="K33" s="33"/>
      <c r="L33" s="33"/>
      <c r="M33" s="33"/>
      <c r="N33" s="33"/>
      <c r="O33" s="33"/>
      <c r="P33" s="33"/>
      <c r="Q33" s="33"/>
      <c r="R33" s="33"/>
      <c r="S33" s="33"/>
      <c r="T33" s="33"/>
      <c r="U33" s="75"/>
      <c r="V33" s="75"/>
      <c r="W33" s="75"/>
      <c r="X33" s="75"/>
      <c r="Y33" s="75"/>
      <c r="Z33" s="75"/>
      <c r="AA33" s="75"/>
      <c r="AB33" s="75"/>
      <c r="AC33" s="75"/>
      <c r="AD33" s="75"/>
      <c r="AE33" s="75"/>
      <c r="AF33" s="75"/>
      <c r="AG33" s="75"/>
      <c r="AH33" s="75"/>
      <c r="AI33" s="75"/>
      <c r="AJ33" s="75"/>
      <c r="AK33" s="75"/>
      <c r="AL33" s="75"/>
      <c r="AM33" s="75"/>
      <c r="AN33" s="75"/>
      <c r="AO33" s="75"/>
      <c r="AP33" s="75"/>
    </row>
    <row r="34" spans="2:42" ht="15" customHeight="1">
      <c r="B34" s="27"/>
      <c r="C34" s="33"/>
      <c r="D34" s="33"/>
      <c r="E34" s="33"/>
      <c r="F34" s="33"/>
      <c r="G34" s="33"/>
      <c r="H34" s="33"/>
      <c r="I34" s="33"/>
      <c r="J34" s="33"/>
      <c r="K34" s="33"/>
      <c r="L34" s="33"/>
      <c r="M34" s="33"/>
      <c r="N34" s="33"/>
      <c r="O34" s="33"/>
      <c r="P34" s="33"/>
      <c r="Q34" s="33"/>
      <c r="R34" s="33"/>
      <c r="S34" s="33"/>
      <c r="T34" s="33"/>
      <c r="U34" s="75"/>
      <c r="V34" s="75"/>
      <c r="W34" s="75"/>
      <c r="X34" s="75"/>
      <c r="Y34" s="75"/>
      <c r="Z34" s="75"/>
      <c r="AA34" s="75"/>
      <c r="AB34" s="75"/>
      <c r="AC34" s="75"/>
      <c r="AD34" s="75"/>
      <c r="AE34" s="75"/>
      <c r="AF34" s="75"/>
      <c r="AG34" s="75"/>
      <c r="AH34" s="75"/>
      <c r="AI34" s="75"/>
      <c r="AJ34" s="75"/>
      <c r="AK34" s="75"/>
      <c r="AL34" s="75"/>
      <c r="AM34" s="75"/>
      <c r="AN34" s="75"/>
      <c r="AO34" s="75"/>
      <c r="AP34" s="75"/>
    </row>
    <row r="35" spans="2:34" ht="15" customHeight="1">
      <c r="B35" s="27"/>
      <c r="C35" s="33"/>
      <c r="D35" s="33"/>
      <c r="E35" s="33"/>
      <c r="F35" s="33"/>
      <c r="G35" s="33"/>
      <c r="H35" s="33"/>
      <c r="I35" s="33"/>
      <c r="J35" s="33"/>
      <c r="K35" s="33"/>
      <c r="L35" s="33"/>
      <c r="M35" s="33"/>
      <c r="N35" s="33"/>
      <c r="O35" s="33"/>
      <c r="P35" s="33"/>
      <c r="Q35" s="33"/>
      <c r="R35" s="33"/>
      <c r="S35" s="33"/>
      <c r="T35" s="33"/>
      <c r="U35" s="70"/>
      <c r="V35" s="70"/>
      <c r="W35" s="70"/>
      <c r="X35" s="22"/>
      <c r="Y35" s="22"/>
      <c r="Z35" s="22"/>
      <c r="AA35" s="22"/>
      <c r="AB35" s="22"/>
      <c r="AC35" s="60"/>
      <c r="AD35" s="60"/>
      <c r="AE35" s="76"/>
      <c r="AF35" s="93"/>
      <c r="AG35" s="22"/>
      <c r="AH35" s="22"/>
    </row>
    <row r="36" spans="2:34" ht="15" customHeight="1">
      <c r="B36" s="27"/>
      <c r="C36" s="33"/>
      <c r="D36" s="33"/>
      <c r="E36" s="33"/>
      <c r="F36" s="33"/>
      <c r="G36" s="33"/>
      <c r="H36" s="33"/>
      <c r="I36" s="33"/>
      <c r="J36" s="33"/>
      <c r="K36" s="33"/>
      <c r="L36" s="33"/>
      <c r="M36" s="33"/>
      <c r="N36" s="33"/>
      <c r="O36" s="33"/>
      <c r="P36" s="33"/>
      <c r="Q36" s="33"/>
      <c r="R36" s="33"/>
      <c r="S36" s="33"/>
      <c r="T36" s="33"/>
      <c r="U36" s="70"/>
      <c r="V36" s="70"/>
      <c r="W36" s="70"/>
      <c r="X36" s="22"/>
      <c r="Y36" s="22"/>
      <c r="Z36" s="58"/>
      <c r="AA36" s="79"/>
      <c r="AB36" s="79"/>
      <c r="AC36" s="58"/>
      <c r="AD36" s="59"/>
      <c r="AE36" s="59"/>
      <c r="AF36" s="60"/>
      <c r="AG36" s="22"/>
      <c r="AH36" s="22"/>
    </row>
    <row r="37" spans="2:34" ht="15" customHeight="1">
      <c r="B37" s="27"/>
      <c r="C37" s="80"/>
      <c r="D37" s="80"/>
      <c r="E37" s="80"/>
      <c r="F37" s="80"/>
      <c r="G37" s="80"/>
      <c r="H37" s="80"/>
      <c r="I37" s="80"/>
      <c r="J37" s="80"/>
      <c r="K37" s="80"/>
      <c r="L37" s="80"/>
      <c r="M37" s="80"/>
      <c r="N37" s="80"/>
      <c r="O37" s="80"/>
      <c r="P37" s="80"/>
      <c r="Q37" s="80"/>
      <c r="R37" s="80"/>
      <c r="S37" s="80"/>
      <c r="T37" s="80"/>
      <c r="U37" s="42"/>
      <c r="V37" s="42"/>
      <c r="W37" s="42"/>
      <c r="X37" s="22"/>
      <c r="Y37" s="22"/>
      <c r="Z37" s="97"/>
      <c r="AA37" s="61"/>
      <c r="AB37" s="61"/>
      <c r="AC37" s="66"/>
      <c r="AD37" s="66"/>
      <c r="AE37" s="66"/>
      <c r="AF37" s="60"/>
      <c r="AG37" s="22"/>
      <c r="AH37" s="22"/>
    </row>
    <row r="38" spans="2:34" ht="15" customHeight="1">
      <c r="B38" s="27"/>
      <c r="C38" s="33"/>
      <c r="D38" s="33"/>
      <c r="E38" s="33"/>
      <c r="F38" s="33"/>
      <c r="G38" s="33"/>
      <c r="H38" s="33"/>
      <c r="I38" s="33"/>
      <c r="J38" s="33"/>
      <c r="K38" s="33"/>
      <c r="L38" s="33"/>
      <c r="M38" s="33"/>
      <c r="N38" s="33"/>
      <c r="O38" s="33"/>
      <c r="P38" s="33"/>
      <c r="Q38" s="33"/>
      <c r="R38" s="33"/>
      <c r="S38" s="33"/>
      <c r="T38" s="33"/>
      <c r="U38" s="70"/>
      <c r="V38" s="70"/>
      <c r="W38" s="70"/>
      <c r="X38" s="22"/>
      <c r="Y38" s="22"/>
      <c r="Z38" s="61"/>
      <c r="AA38" s="61"/>
      <c r="AB38" s="61"/>
      <c r="AC38" s="66"/>
      <c r="AD38" s="66"/>
      <c r="AE38" s="66"/>
      <c r="AF38" s="60"/>
      <c r="AG38" s="22"/>
      <c r="AH38" s="22"/>
    </row>
    <row r="39" spans="2:34" ht="15" customHeight="1">
      <c r="B39" s="27"/>
      <c r="C39" s="33"/>
      <c r="D39" s="33"/>
      <c r="E39" s="33"/>
      <c r="F39" s="33"/>
      <c r="G39" s="33"/>
      <c r="H39" s="33"/>
      <c r="I39" s="33"/>
      <c r="J39" s="33"/>
      <c r="K39" s="33"/>
      <c r="L39" s="33"/>
      <c r="M39" s="33"/>
      <c r="N39" s="33"/>
      <c r="O39" s="33"/>
      <c r="P39" s="33"/>
      <c r="Q39" s="33"/>
      <c r="R39" s="33"/>
      <c r="S39" s="33"/>
      <c r="T39" s="33"/>
      <c r="U39" s="70"/>
      <c r="V39" s="70"/>
      <c r="W39" s="70"/>
      <c r="X39" s="22"/>
      <c r="Y39" s="22"/>
      <c r="Z39" s="61"/>
      <c r="AA39" s="97"/>
      <c r="AB39" s="97"/>
      <c r="AC39" s="66"/>
      <c r="AD39" s="67"/>
      <c r="AE39" s="67"/>
      <c r="AF39" s="82"/>
      <c r="AG39" s="22"/>
      <c r="AH39" s="22"/>
    </row>
    <row r="40" spans="2:34" ht="15" customHeight="1">
      <c r="B40" s="27"/>
      <c r="C40" s="33"/>
      <c r="D40" s="33"/>
      <c r="E40" s="33"/>
      <c r="F40" s="33"/>
      <c r="G40" s="33"/>
      <c r="H40" s="33"/>
      <c r="I40" s="33"/>
      <c r="J40" s="33"/>
      <c r="K40" s="33"/>
      <c r="L40" s="33"/>
      <c r="M40" s="33"/>
      <c r="N40" s="33"/>
      <c r="O40" s="33"/>
      <c r="P40" s="33"/>
      <c r="Q40" s="33"/>
      <c r="R40" s="33"/>
      <c r="S40" s="33"/>
      <c r="T40" s="33"/>
      <c r="U40" s="70"/>
      <c r="V40" s="70"/>
      <c r="W40" s="70"/>
      <c r="X40" s="22"/>
      <c r="Y40" s="22"/>
      <c r="Z40" s="61"/>
      <c r="AA40" s="97"/>
      <c r="AB40" s="97"/>
      <c r="AC40" s="66"/>
      <c r="AD40" s="67"/>
      <c r="AE40" s="67"/>
      <c r="AF40" s="60"/>
      <c r="AG40" s="22"/>
      <c r="AH40" s="22"/>
    </row>
    <row r="41" spans="2:34" ht="15" customHeight="1">
      <c r="B41" s="27"/>
      <c r="C41" s="33"/>
      <c r="D41" s="33"/>
      <c r="E41" s="33"/>
      <c r="F41" s="33"/>
      <c r="G41" s="33"/>
      <c r="H41" s="33"/>
      <c r="I41" s="33"/>
      <c r="J41" s="33"/>
      <c r="K41" s="33"/>
      <c r="L41" s="33"/>
      <c r="M41" s="33"/>
      <c r="N41" s="33"/>
      <c r="O41" s="33"/>
      <c r="P41" s="33"/>
      <c r="Q41" s="33"/>
      <c r="R41" s="33"/>
      <c r="S41" s="33"/>
      <c r="T41" s="33"/>
      <c r="U41" s="70"/>
      <c r="V41" s="70"/>
      <c r="W41" s="70"/>
      <c r="X41" s="22"/>
      <c r="Y41" s="22"/>
      <c r="Z41" s="61"/>
      <c r="AA41" s="97"/>
      <c r="AB41" s="97"/>
      <c r="AC41" s="66"/>
      <c r="AD41" s="67"/>
      <c r="AE41" s="67"/>
      <c r="AF41" s="60"/>
      <c r="AG41" s="22"/>
      <c r="AH41" s="22"/>
    </row>
    <row r="42" spans="2:34" ht="15" customHeight="1">
      <c r="B42" s="27"/>
      <c r="C42" s="33"/>
      <c r="D42" s="33"/>
      <c r="E42" s="33"/>
      <c r="F42" s="33"/>
      <c r="G42" s="33"/>
      <c r="H42" s="33"/>
      <c r="I42" s="33"/>
      <c r="J42" s="33"/>
      <c r="K42" s="33"/>
      <c r="L42" s="33"/>
      <c r="M42" s="33"/>
      <c r="N42" s="33"/>
      <c r="O42" s="33"/>
      <c r="P42" s="33"/>
      <c r="Q42" s="33"/>
      <c r="R42" s="33"/>
      <c r="S42" s="33"/>
      <c r="T42" s="33"/>
      <c r="U42" s="70"/>
      <c r="V42" s="70"/>
      <c r="W42" s="83"/>
      <c r="X42" s="22"/>
      <c r="Y42" s="22"/>
      <c r="Z42" s="61"/>
      <c r="AA42" s="97"/>
      <c r="AB42" s="97"/>
      <c r="AC42" s="66"/>
      <c r="AD42" s="67"/>
      <c r="AE42" s="67"/>
      <c r="AF42" s="69"/>
      <c r="AG42" s="22"/>
      <c r="AH42" s="22"/>
    </row>
    <row r="43" spans="2:34" ht="15" customHeight="1">
      <c r="B43" s="27"/>
      <c r="C43" s="80"/>
      <c r="D43" s="80"/>
      <c r="E43" s="80"/>
      <c r="F43" s="80"/>
      <c r="G43" s="80"/>
      <c r="H43" s="80"/>
      <c r="I43" s="80"/>
      <c r="J43" s="80"/>
      <c r="K43" s="80"/>
      <c r="L43" s="80"/>
      <c r="M43" s="80"/>
      <c r="N43" s="80"/>
      <c r="O43" s="80"/>
      <c r="P43" s="80"/>
      <c r="Q43" s="80"/>
      <c r="R43" s="80"/>
      <c r="S43" s="80"/>
      <c r="T43" s="80"/>
      <c r="U43" s="42"/>
      <c r="V43" s="42"/>
      <c r="W43" s="42"/>
      <c r="X43" s="22"/>
      <c r="Y43" s="22"/>
      <c r="Z43" s="61"/>
      <c r="AA43" s="97"/>
      <c r="AB43" s="97"/>
      <c r="AC43" s="66"/>
      <c r="AD43" s="67"/>
      <c r="AE43" s="67"/>
      <c r="AF43" s="60"/>
      <c r="AG43" s="22"/>
      <c r="AH43" s="22"/>
    </row>
    <row r="44" spans="2:34" ht="15" customHeight="1">
      <c r="B44" s="27"/>
      <c r="C44" s="43"/>
      <c r="D44" s="43"/>
      <c r="E44" s="43"/>
      <c r="F44" s="43"/>
      <c r="G44" s="43"/>
      <c r="H44" s="43"/>
      <c r="I44" s="43"/>
      <c r="J44" s="43"/>
      <c r="K44" s="43"/>
      <c r="L44" s="43"/>
      <c r="M44" s="43"/>
      <c r="N44" s="43"/>
      <c r="O44" s="43"/>
      <c r="P44" s="43"/>
      <c r="Q44" s="43"/>
      <c r="R44" s="43"/>
      <c r="S44" s="43"/>
      <c r="T44" s="43"/>
      <c r="U44" s="44"/>
      <c r="V44" s="44"/>
      <c r="W44" s="44"/>
      <c r="X44" s="22"/>
      <c r="Y44" s="22"/>
      <c r="Z44" s="61"/>
      <c r="AA44" s="97"/>
      <c r="AB44" s="97"/>
      <c r="AC44" s="66"/>
      <c r="AD44" s="67"/>
      <c r="AE44" s="67"/>
      <c r="AF44" s="66"/>
      <c r="AG44" s="22"/>
      <c r="AH44" s="22"/>
    </row>
    <row r="45" spans="2:34" ht="15" customHeight="1">
      <c r="B45" s="27"/>
      <c r="C45" s="43"/>
      <c r="D45" s="43"/>
      <c r="E45" s="43"/>
      <c r="F45" s="43"/>
      <c r="G45" s="43"/>
      <c r="H45" s="43"/>
      <c r="I45" s="43"/>
      <c r="J45" s="43"/>
      <c r="K45" s="43"/>
      <c r="L45" s="43"/>
      <c r="M45" s="43"/>
      <c r="N45" s="43"/>
      <c r="O45" s="43"/>
      <c r="P45" s="43"/>
      <c r="Q45" s="43"/>
      <c r="R45" s="43"/>
      <c r="S45" s="43"/>
      <c r="T45" s="43"/>
      <c r="U45" s="44"/>
      <c r="V45" s="44"/>
      <c r="W45" s="44"/>
      <c r="X45" s="22"/>
      <c r="Y45" s="22"/>
      <c r="Z45" s="61"/>
      <c r="AA45" s="97"/>
      <c r="AB45" s="97"/>
      <c r="AC45" s="66"/>
      <c r="AD45" s="67"/>
      <c r="AE45" s="67"/>
      <c r="AF45" s="60"/>
      <c r="AG45" s="22"/>
      <c r="AH45" s="22"/>
    </row>
    <row r="46" spans="2:34" ht="15" customHeight="1">
      <c r="B46" s="27"/>
      <c r="C46" s="33"/>
      <c r="D46" s="33"/>
      <c r="E46" s="33"/>
      <c r="F46" s="33"/>
      <c r="G46" s="33"/>
      <c r="H46" s="33"/>
      <c r="I46" s="33"/>
      <c r="J46" s="33"/>
      <c r="K46" s="33"/>
      <c r="L46" s="33"/>
      <c r="M46" s="33"/>
      <c r="N46" s="33"/>
      <c r="O46" s="33"/>
      <c r="P46" s="33"/>
      <c r="Q46" s="33"/>
      <c r="R46" s="33"/>
      <c r="S46" s="33"/>
      <c r="T46" s="33"/>
      <c r="U46" s="85"/>
      <c r="V46" s="85"/>
      <c r="W46" s="85"/>
      <c r="X46" s="22"/>
      <c r="Y46" s="22"/>
      <c r="Z46" s="61"/>
      <c r="AA46" s="97"/>
      <c r="AB46" s="97"/>
      <c r="AC46" s="66"/>
      <c r="AD46" s="67"/>
      <c r="AE46" s="67"/>
      <c r="AF46" s="60"/>
      <c r="AG46" s="22"/>
      <c r="AH46" s="22"/>
    </row>
    <row r="47" spans="2:34" ht="15" customHeight="1">
      <c r="B47" s="27"/>
      <c r="C47" s="33"/>
      <c r="D47" s="33"/>
      <c r="E47" s="33"/>
      <c r="F47" s="33"/>
      <c r="G47" s="33"/>
      <c r="H47" s="33"/>
      <c r="I47" s="33"/>
      <c r="J47" s="33"/>
      <c r="K47" s="33"/>
      <c r="L47" s="33"/>
      <c r="M47" s="33"/>
      <c r="N47" s="33"/>
      <c r="O47" s="33"/>
      <c r="P47" s="33"/>
      <c r="Q47" s="33"/>
      <c r="R47" s="33"/>
      <c r="S47" s="33"/>
      <c r="T47" s="33"/>
      <c r="U47" s="86"/>
      <c r="V47" s="86"/>
      <c r="W47" s="86"/>
      <c r="X47" s="22"/>
      <c r="Y47" s="22"/>
      <c r="Z47" s="97"/>
      <c r="AA47" s="97"/>
      <c r="AB47" s="108"/>
      <c r="AC47" s="109"/>
      <c r="AD47" s="66"/>
      <c r="AE47" s="66"/>
      <c r="AF47" s="60"/>
      <c r="AG47" s="22"/>
      <c r="AH47" s="22"/>
    </row>
    <row r="48" spans="2:34" ht="15" customHeight="1">
      <c r="B48" s="27"/>
      <c r="C48" s="33"/>
      <c r="D48" s="33"/>
      <c r="E48" s="33"/>
      <c r="F48" s="33"/>
      <c r="G48" s="33"/>
      <c r="H48" s="33"/>
      <c r="I48" s="33"/>
      <c r="J48" s="33"/>
      <c r="K48" s="33"/>
      <c r="L48" s="33"/>
      <c r="M48" s="33"/>
      <c r="N48" s="33"/>
      <c r="O48" s="33"/>
      <c r="P48" s="33"/>
      <c r="Q48" s="33"/>
      <c r="R48" s="33"/>
      <c r="S48" s="33"/>
      <c r="T48" s="33"/>
      <c r="U48" s="86"/>
      <c r="V48" s="86"/>
      <c r="W48" s="86"/>
      <c r="X48" s="22"/>
      <c r="Y48" s="22"/>
      <c r="Z48" s="73"/>
      <c r="AA48" s="73"/>
      <c r="AB48" s="73"/>
      <c r="AC48" s="74"/>
      <c r="AD48" s="74"/>
      <c r="AE48" s="74"/>
      <c r="AF48" s="60"/>
      <c r="AG48" s="22"/>
      <c r="AH48" s="22"/>
    </row>
    <row r="49" spans="2:34" ht="15" customHeight="1">
      <c r="B49" s="27"/>
      <c r="C49" s="22"/>
      <c r="D49" s="22"/>
      <c r="E49" s="22"/>
      <c r="F49" s="22"/>
      <c r="G49" s="22"/>
      <c r="H49" s="22"/>
      <c r="I49" s="22"/>
      <c r="J49" s="22"/>
      <c r="K49" s="22"/>
      <c r="L49" s="22"/>
      <c r="M49" s="22"/>
      <c r="N49" s="22"/>
      <c r="O49" s="22"/>
      <c r="P49" s="22"/>
      <c r="Q49" s="22"/>
      <c r="R49" s="22"/>
      <c r="S49" s="22"/>
      <c r="T49" s="22"/>
      <c r="U49" s="86"/>
      <c r="V49" s="86"/>
      <c r="W49" s="86"/>
      <c r="X49" s="22"/>
      <c r="Y49" s="22"/>
      <c r="Z49" s="22"/>
      <c r="AA49" s="22"/>
      <c r="AB49" s="22"/>
      <c r="AC49" s="22"/>
      <c r="AD49" s="22"/>
      <c r="AE49" s="22"/>
      <c r="AF49" s="22"/>
      <c r="AG49" s="22"/>
      <c r="AH49" s="22"/>
    </row>
    <row r="50" spans="2:34" ht="15" customHeight="1">
      <c r="B50" s="27"/>
      <c r="C50" s="22"/>
      <c r="D50" s="22"/>
      <c r="E50" s="22"/>
      <c r="F50" s="22"/>
      <c r="G50" s="22"/>
      <c r="H50" s="22"/>
      <c r="I50" s="22"/>
      <c r="J50" s="22"/>
      <c r="K50" s="22"/>
      <c r="L50" s="22"/>
      <c r="M50" s="22"/>
      <c r="N50" s="22"/>
      <c r="O50" s="22"/>
      <c r="P50" s="22"/>
      <c r="Q50" s="22"/>
      <c r="R50" s="22"/>
      <c r="S50" s="22"/>
      <c r="T50" s="22"/>
      <c r="U50" s="86"/>
      <c r="V50" s="86"/>
      <c r="W50" s="86"/>
      <c r="X50" s="22"/>
      <c r="Y50" s="22"/>
      <c r="Z50" s="22"/>
      <c r="AA50" s="22"/>
      <c r="AB50" s="22"/>
      <c r="AC50" s="22"/>
      <c r="AD50" s="22"/>
      <c r="AE50" s="22"/>
      <c r="AF50" s="22"/>
      <c r="AG50" s="22"/>
      <c r="AH50" s="22"/>
    </row>
    <row r="51" spans="2:34"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2:34"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2:34"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2:34" ht="15" customHeight="1">
      <c r="B54" s="27"/>
      <c r="C54" s="43"/>
      <c r="D54" s="43"/>
      <c r="E54" s="43"/>
      <c r="F54" s="43"/>
      <c r="G54" s="43"/>
      <c r="H54" s="43"/>
      <c r="I54" s="43"/>
      <c r="J54" s="43"/>
      <c r="K54" s="43"/>
      <c r="L54" s="43"/>
      <c r="M54" s="43"/>
      <c r="N54" s="43"/>
      <c r="O54" s="43"/>
      <c r="P54" s="43"/>
      <c r="Q54" s="43"/>
      <c r="R54" s="43"/>
      <c r="S54" s="43"/>
      <c r="T54" s="43"/>
      <c r="U54" s="44"/>
      <c r="V54" s="44"/>
      <c r="W54" s="44"/>
      <c r="X54" s="22"/>
      <c r="Y54" s="22"/>
      <c r="Z54" s="22"/>
      <c r="AA54" s="22"/>
      <c r="AB54" s="22"/>
      <c r="AC54" s="22"/>
      <c r="AD54" s="22"/>
      <c r="AE54" s="22"/>
      <c r="AF54" s="22"/>
      <c r="AG54" s="22"/>
      <c r="AH54" s="22"/>
    </row>
    <row r="55" spans="2:34" ht="15" customHeight="1">
      <c r="B55" s="27"/>
      <c r="C55" s="43"/>
      <c r="D55" s="43"/>
      <c r="E55" s="43"/>
      <c r="F55" s="43"/>
      <c r="G55" s="43"/>
      <c r="H55" s="43"/>
      <c r="I55" s="43"/>
      <c r="J55" s="43"/>
      <c r="K55" s="43"/>
      <c r="L55" s="43"/>
      <c r="M55" s="43"/>
      <c r="N55" s="43"/>
      <c r="O55" s="43"/>
      <c r="P55" s="43"/>
      <c r="Q55" s="43"/>
      <c r="R55" s="43"/>
      <c r="S55" s="43"/>
      <c r="T55" s="43"/>
      <c r="U55" s="44"/>
      <c r="V55" s="44"/>
      <c r="W55" s="44"/>
      <c r="X55" s="22"/>
      <c r="Y55" s="22"/>
      <c r="Z55" s="89"/>
      <c r="AA55" s="276"/>
      <c r="AB55" s="276"/>
      <c r="AC55" s="275"/>
      <c r="AD55" s="275"/>
      <c r="AE55" s="42"/>
      <c r="AF55" s="42"/>
      <c r="AG55" s="22"/>
      <c r="AH55" s="22"/>
    </row>
    <row r="56" spans="2:34" ht="15" customHeight="1">
      <c r="B56" s="27"/>
      <c r="C56" s="33"/>
      <c r="D56" s="33"/>
      <c r="E56" s="33"/>
      <c r="F56" s="33"/>
      <c r="G56" s="33"/>
      <c r="H56" s="33"/>
      <c r="I56" s="33"/>
      <c r="J56" s="33"/>
      <c r="K56" s="33"/>
      <c r="L56" s="33"/>
      <c r="M56" s="33"/>
      <c r="N56" s="33"/>
      <c r="O56" s="33"/>
      <c r="P56" s="33"/>
      <c r="Q56" s="33"/>
      <c r="R56" s="33"/>
      <c r="S56" s="33"/>
      <c r="T56" s="33"/>
      <c r="U56" s="70"/>
      <c r="V56" s="70"/>
      <c r="W56" s="70"/>
      <c r="X56" s="22"/>
      <c r="Y56" s="22"/>
      <c r="Z56" s="22"/>
      <c r="AA56" s="22"/>
      <c r="AB56" s="22"/>
      <c r="AC56" s="60"/>
      <c r="AD56" s="60"/>
      <c r="AE56" s="76"/>
      <c r="AF56" s="90"/>
      <c r="AG56" s="22"/>
      <c r="AH56" s="22"/>
    </row>
    <row r="57" spans="2:34" ht="15" customHeight="1">
      <c r="B57" s="27"/>
      <c r="C57" s="33"/>
      <c r="D57" s="33"/>
      <c r="E57" s="33"/>
      <c r="F57" s="33"/>
      <c r="G57" s="33"/>
      <c r="H57" s="33"/>
      <c r="I57" s="33"/>
      <c r="J57" s="33"/>
      <c r="K57" s="33"/>
      <c r="L57" s="33"/>
      <c r="M57" s="33"/>
      <c r="N57" s="33"/>
      <c r="O57" s="33"/>
      <c r="P57" s="33"/>
      <c r="Q57" s="33"/>
      <c r="R57" s="33"/>
      <c r="S57" s="33"/>
      <c r="T57" s="33"/>
      <c r="U57" s="70"/>
      <c r="V57" s="70"/>
      <c r="W57" s="70"/>
      <c r="X57" s="22"/>
      <c r="Y57" s="22"/>
      <c r="Z57" s="22"/>
      <c r="AA57" s="22"/>
      <c r="AB57" s="22"/>
      <c r="AC57" s="60"/>
      <c r="AD57" s="60"/>
      <c r="AE57" s="76"/>
      <c r="AF57" s="93"/>
      <c r="AG57" s="22"/>
      <c r="AH57" s="22"/>
    </row>
    <row r="58" spans="2:34" ht="15" customHeight="1">
      <c r="B58" s="27"/>
      <c r="C58" s="33"/>
      <c r="D58" s="33"/>
      <c r="E58" s="33"/>
      <c r="F58" s="33"/>
      <c r="G58" s="33"/>
      <c r="H58" s="33"/>
      <c r="I58" s="33"/>
      <c r="J58" s="33"/>
      <c r="K58" s="33"/>
      <c r="L58" s="33"/>
      <c r="M58" s="33"/>
      <c r="N58" s="33"/>
      <c r="O58" s="33"/>
      <c r="P58" s="33"/>
      <c r="Q58" s="33"/>
      <c r="R58" s="33"/>
      <c r="S58" s="33"/>
      <c r="T58" s="33"/>
      <c r="U58" s="70"/>
      <c r="V58" s="70"/>
      <c r="W58" s="70"/>
      <c r="X58" s="22"/>
      <c r="Y58" s="22"/>
      <c r="Z58" s="58"/>
      <c r="AA58" s="79"/>
      <c r="AB58" s="79"/>
      <c r="AC58" s="58"/>
      <c r="AD58" s="59"/>
      <c r="AE58" s="59"/>
      <c r="AF58" s="60"/>
      <c r="AG58" s="22"/>
      <c r="AH58" s="22"/>
    </row>
    <row r="59" spans="2:34" ht="15" customHeight="1">
      <c r="B59" s="27"/>
      <c r="C59" s="80"/>
      <c r="D59" s="80"/>
      <c r="E59" s="80"/>
      <c r="F59" s="80"/>
      <c r="G59" s="80"/>
      <c r="H59" s="80"/>
      <c r="I59" s="80"/>
      <c r="J59" s="80"/>
      <c r="K59" s="80"/>
      <c r="L59" s="80"/>
      <c r="M59" s="80"/>
      <c r="N59" s="80"/>
      <c r="O59" s="80"/>
      <c r="P59" s="80"/>
      <c r="Q59" s="80"/>
      <c r="R59" s="80"/>
      <c r="S59" s="80"/>
      <c r="T59" s="80"/>
      <c r="U59" s="42"/>
      <c r="V59" s="42"/>
      <c r="W59" s="42"/>
      <c r="X59" s="22"/>
      <c r="Y59" s="22"/>
      <c r="Z59" s="97"/>
      <c r="AA59" s="61"/>
      <c r="AB59" s="61"/>
      <c r="AC59" s="66"/>
      <c r="AD59" s="66"/>
      <c r="AE59" s="66"/>
      <c r="AF59" s="60"/>
      <c r="AG59" s="22"/>
      <c r="AH59" s="22"/>
    </row>
    <row r="60" spans="3:34" ht="15" customHeight="1">
      <c r="C60" s="33"/>
      <c r="D60" s="33"/>
      <c r="E60" s="33"/>
      <c r="F60" s="33"/>
      <c r="G60" s="33"/>
      <c r="H60" s="33"/>
      <c r="I60" s="33"/>
      <c r="J60" s="33"/>
      <c r="K60" s="33"/>
      <c r="L60" s="33"/>
      <c r="M60" s="33"/>
      <c r="N60" s="33"/>
      <c r="O60" s="33"/>
      <c r="P60" s="33"/>
      <c r="Q60" s="33"/>
      <c r="R60" s="33"/>
      <c r="S60" s="33"/>
      <c r="T60" s="33"/>
      <c r="U60" s="70"/>
      <c r="V60" s="70"/>
      <c r="W60" s="70"/>
      <c r="X60" s="22"/>
      <c r="Y60" s="22"/>
      <c r="Z60" s="61"/>
      <c r="AA60" s="61"/>
      <c r="AB60" s="61"/>
      <c r="AC60" s="66"/>
      <c r="AD60" s="66"/>
      <c r="AE60" s="66"/>
      <c r="AF60" s="60"/>
      <c r="AG60" s="22"/>
      <c r="AH60" s="22"/>
    </row>
    <row r="61" spans="3:34" ht="15" customHeight="1">
      <c r="C61" s="33"/>
      <c r="D61" s="33"/>
      <c r="E61" s="33"/>
      <c r="F61" s="33"/>
      <c r="G61" s="33"/>
      <c r="H61" s="33"/>
      <c r="I61" s="33"/>
      <c r="J61" s="33"/>
      <c r="K61" s="33"/>
      <c r="L61" s="33"/>
      <c r="M61" s="33"/>
      <c r="N61" s="33"/>
      <c r="O61" s="33"/>
      <c r="P61" s="33"/>
      <c r="Q61" s="33"/>
      <c r="R61" s="33"/>
      <c r="S61" s="33"/>
      <c r="T61" s="33"/>
      <c r="U61" s="70"/>
      <c r="V61" s="70"/>
      <c r="W61" s="70"/>
      <c r="X61" s="22"/>
      <c r="Y61" s="22"/>
      <c r="Z61" s="61"/>
      <c r="AA61" s="97"/>
      <c r="AB61" s="97"/>
      <c r="AC61" s="66"/>
      <c r="AD61" s="67"/>
      <c r="AE61" s="67"/>
      <c r="AF61" s="82"/>
      <c r="AG61" s="22"/>
      <c r="AH61" s="22"/>
    </row>
    <row r="62" spans="3:34" ht="15" customHeight="1">
      <c r="C62" s="33"/>
      <c r="D62" s="33"/>
      <c r="E62" s="33"/>
      <c r="F62" s="33"/>
      <c r="G62" s="33"/>
      <c r="H62" s="33"/>
      <c r="I62" s="33"/>
      <c r="J62" s="33"/>
      <c r="K62" s="33"/>
      <c r="L62" s="33"/>
      <c r="M62" s="33"/>
      <c r="N62" s="33"/>
      <c r="O62" s="33"/>
      <c r="P62" s="33"/>
      <c r="Q62" s="33"/>
      <c r="R62" s="33"/>
      <c r="S62" s="33"/>
      <c r="T62" s="33"/>
      <c r="U62" s="70"/>
      <c r="V62" s="70"/>
      <c r="W62" s="70"/>
      <c r="X62" s="22"/>
      <c r="Y62" s="22"/>
      <c r="Z62" s="61"/>
      <c r="AA62" s="97"/>
      <c r="AB62" s="97"/>
      <c r="AC62" s="66"/>
      <c r="AD62" s="67"/>
      <c r="AE62" s="67"/>
      <c r="AF62" s="60"/>
      <c r="AG62" s="22"/>
      <c r="AH62" s="22"/>
    </row>
    <row r="63" spans="3:34" ht="15" customHeight="1">
      <c r="C63" s="33"/>
      <c r="D63" s="33"/>
      <c r="E63" s="33"/>
      <c r="F63" s="33"/>
      <c r="G63" s="33"/>
      <c r="H63" s="33"/>
      <c r="I63" s="33"/>
      <c r="J63" s="33"/>
      <c r="K63" s="33"/>
      <c r="L63" s="33"/>
      <c r="M63" s="33"/>
      <c r="N63" s="33"/>
      <c r="O63" s="33"/>
      <c r="P63" s="33"/>
      <c r="Q63" s="33"/>
      <c r="R63" s="33"/>
      <c r="S63" s="33"/>
      <c r="T63" s="33"/>
      <c r="U63" s="70"/>
      <c r="V63" s="70"/>
      <c r="W63" s="70"/>
      <c r="X63" s="22"/>
      <c r="Y63" s="22"/>
      <c r="Z63" s="61"/>
      <c r="AA63" s="97"/>
      <c r="AB63" s="97"/>
      <c r="AC63" s="66"/>
      <c r="AD63" s="67"/>
      <c r="AE63" s="67"/>
      <c r="AF63" s="60"/>
      <c r="AG63" s="22"/>
      <c r="AH63" s="22"/>
    </row>
    <row r="64" spans="3:34" ht="15" customHeight="1">
      <c r="C64" s="33"/>
      <c r="D64" s="33"/>
      <c r="E64" s="33"/>
      <c r="F64" s="33"/>
      <c r="G64" s="33"/>
      <c r="H64" s="33"/>
      <c r="I64" s="33"/>
      <c r="J64" s="33"/>
      <c r="K64" s="33"/>
      <c r="L64" s="33"/>
      <c r="M64" s="33"/>
      <c r="N64" s="33"/>
      <c r="O64" s="33"/>
      <c r="P64" s="33"/>
      <c r="Q64" s="33"/>
      <c r="R64" s="33"/>
      <c r="S64" s="33"/>
      <c r="T64" s="33"/>
      <c r="U64" s="70"/>
      <c r="V64" s="70"/>
      <c r="W64" s="83"/>
      <c r="X64" s="22"/>
      <c r="Y64" s="22"/>
      <c r="Z64" s="61"/>
      <c r="AA64" s="97"/>
      <c r="AB64" s="97"/>
      <c r="AC64" s="66"/>
      <c r="AD64" s="67"/>
      <c r="AE64" s="67"/>
      <c r="AF64" s="69"/>
      <c r="AG64" s="22"/>
      <c r="AH64" s="22"/>
    </row>
    <row r="65" spans="3:34" ht="15" customHeight="1">
      <c r="C65" s="80"/>
      <c r="D65" s="80"/>
      <c r="E65" s="80"/>
      <c r="F65" s="80"/>
      <c r="G65" s="80"/>
      <c r="H65" s="80"/>
      <c r="I65" s="80"/>
      <c r="J65" s="80"/>
      <c r="K65" s="80"/>
      <c r="L65" s="80"/>
      <c r="M65" s="80"/>
      <c r="N65" s="80"/>
      <c r="O65" s="80"/>
      <c r="P65" s="80"/>
      <c r="Q65" s="80"/>
      <c r="R65" s="80"/>
      <c r="S65" s="80"/>
      <c r="T65" s="80"/>
      <c r="U65" s="42"/>
      <c r="V65" s="42"/>
      <c r="W65" s="42"/>
      <c r="X65" s="22"/>
      <c r="Y65" s="22"/>
      <c r="Z65" s="61"/>
      <c r="AA65" s="97"/>
      <c r="AB65" s="97"/>
      <c r="AC65" s="66"/>
      <c r="AD65" s="67"/>
      <c r="AE65" s="67"/>
      <c r="AF65" s="60"/>
      <c r="AG65" s="22"/>
      <c r="AH65" s="22"/>
    </row>
    <row r="66" spans="3:34" ht="15" customHeight="1">
      <c r="C66" s="80"/>
      <c r="D66" s="80"/>
      <c r="E66" s="80"/>
      <c r="F66" s="80"/>
      <c r="G66" s="80"/>
      <c r="H66" s="80"/>
      <c r="I66" s="80"/>
      <c r="J66" s="80"/>
      <c r="K66" s="80"/>
      <c r="L66" s="80"/>
      <c r="M66" s="80"/>
      <c r="N66" s="80"/>
      <c r="O66" s="80"/>
      <c r="P66" s="80"/>
      <c r="Q66" s="80"/>
      <c r="R66" s="80"/>
      <c r="S66" s="80"/>
      <c r="T66" s="80"/>
      <c r="U66" s="42"/>
      <c r="V66" s="42"/>
      <c r="W66" s="42"/>
      <c r="X66" s="22"/>
      <c r="Y66" s="22"/>
      <c r="Z66" s="61"/>
      <c r="AA66" s="97"/>
      <c r="AB66" s="97"/>
      <c r="AC66" s="66"/>
      <c r="AD66" s="67"/>
      <c r="AE66" s="67"/>
      <c r="AF66" s="66"/>
      <c r="AG66" s="22"/>
      <c r="AH66" s="22"/>
    </row>
    <row r="67" spans="3:34" ht="15" customHeight="1">
      <c r="C67" s="33"/>
      <c r="D67" s="33"/>
      <c r="E67" s="33"/>
      <c r="F67" s="33"/>
      <c r="G67" s="33"/>
      <c r="H67" s="33"/>
      <c r="I67" s="33"/>
      <c r="J67" s="33"/>
      <c r="K67" s="33"/>
      <c r="L67" s="33"/>
      <c r="M67" s="33"/>
      <c r="N67" s="33"/>
      <c r="O67" s="33"/>
      <c r="P67" s="33"/>
      <c r="Q67" s="33"/>
      <c r="R67" s="33"/>
      <c r="S67" s="33"/>
      <c r="T67" s="33"/>
      <c r="U67" s="70"/>
      <c r="V67" s="70"/>
      <c r="W67" s="70"/>
      <c r="X67" s="22"/>
      <c r="Y67" s="22"/>
      <c r="Z67" s="61"/>
      <c r="AA67" s="97"/>
      <c r="AB67" s="97"/>
      <c r="AC67" s="66"/>
      <c r="AD67" s="67"/>
      <c r="AE67" s="67"/>
      <c r="AF67" s="60"/>
      <c r="AG67" s="22"/>
      <c r="AH67" s="22"/>
    </row>
    <row r="68" spans="3:34" ht="15" customHeight="1">
      <c r="C68" s="80"/>
      <c r="D68" s="80"/>
      <c r="E68" s="80"/>
      <c r="F68" s="80"/>
      <c r="G68" s="80"/>
      <c r="H68" s="80"/>
      <c r="I68" s="80"/>
      <c r="J68" s="80"/>
      <c r="K68" s="80"/>
      <c r="L68" s="80"/>
      <c r="M68" s="80"/>
      <c r="N68" s="80"/>
      <c r="O68" s="80"/>
      <c r="P68" s="80"/>
      <c r="Q68" s="80"/>
      <c r="R68" s="80"/>
      <c r="S68" s="80"/>
      <c r="T68" s="80"/>
      <c r="U68" s="42"/>
      <c r="V68" s="42"/>
      <c r="W68" s="42"/>
      <c r="X68" s="22"/>
      <c r="Y68" s="22"/>
      <c r="Z68" s="61"/>
      <c r="AA68" s="97"/>
      <c r="AB68" s="97"/>
      <c r="AC68" s="66"/>
      <c r="AD68" s="67"/>
      <c r="AE68" s="67"/>
      <c r="AF68" s="60"/>
      <c r="AG68" s="22"/>
      <c r="AH68" s="22"/>
    </row>
    <row r="69" spans="3:34" ht="15" customHeight="1">
      <c r="C69" s="22"/>
      <c r="D69" s="22"/>
      <c r="E69" s="22"/>
      <c r="F69" s="22"/>
      <c r="G69" s="22"/>
      <c r="H69" s="22"/>
      <c r="I69" s="22"/>
      <c r="J69" s="22"/>
      <c r="K69" s="22"/>
      <c r="L69" s="22"/>
      <c r="M69" s="22"/>
      <c r="N69" s="22"/>
      <c r="O69" s="22"/>
      <c r="P69" s="22"/>
      <c r="Q69" s="22"/>
      <c r="R69" s="22"/>
      <c r="S69" s="22"/>
      <c r="T69" s="22"/>
      <c r="U69" s="86"/>
      <c r="V69" s="86"/>
      <c r="W69" s="86"/>
      <c r="X69" s="22"/>
      <c r="Y69" s="22"/>
      <c r="Z69" s="97"/>
      <c r="AA69" s="97"/>
      <c r="AB69" s="108"/>
      <c r="AC69" s="109"/>
      <c r="AD69" s="66"/>
      <c r="AE69" s="66"/>
      <c r="AF69" s="60"/>
      <c r="AG69" s="22"/>
      <c r="AH69" s="22"/>
    </row>
    <row r="70" spans="3:34" ht="15" customHeight="1">
      <c r="C70" s="33"/>
      <c r="D70" s="33"/>
      <c r="E70" s="33"/>
      <c r="F70" s="33"/>
      <c r="G70" s="33"/>
      <c r="H70" s="33"/>
      <c r="I70" s="33"/>
      <c r="J70" s="33"/>
      <c r="K70" s="33"/>
      <c r="L70" s="33"/>
      <c r="M70" s="33"/>
      <c r="N70" s="33"/>
      <c r="O70" s="33"/>
      <c r="P70" s="33"/>
      <c r="Q70" s="33"/>
      <c r="R70" s="33"/>
      <c r="S70" s="33"/>
      <c r="T70" s="33"/>
      <c r="U70" s="86"/>
      <c r="V70" s="86"/>
      <c r="W70" s="86"/>
      <c r="X70" s="22"/>
      <c r="Y70" s="22"/>
      <c r="Z70" s="73"/>
      <c r="AA70" s="73"/>
      <c r="AB70" s="73"/>
      <c r="AC70" s="74"/>
      <c r="AD70" s="74"/>
      <c r="AE70" s="74"/>
      <c r="AF70" s="60"/>
      <c r="AG70" s="22"/>
      <c r="AH70" s="22"/>
    </row>
    <row r="71" spans="3:34" ht="15" customHeight="1">
      <c r="C71" s="43"/>
      <c r="D71" s="43"/>
      <c r="E71" s="43"/>
      <c r="F71" s="43"/>
      <c r="G71" s="43"/>
      <c r="H71" s="43"/>
      <c r="I71" s="43"/>
      <c r="J71" s="43"/>
      <c r="K71" s="43"/>
      <c r="L71" s="43"/>
      <c r="M71" s="43"/>
      <c r="N71" s="43"/>
      <c r="O71" s="43"/>
      <c r="P71" s="43"/>
      <c r="Q71" s="43"/>
      <c r="R71" s="43"/>
      <c r="S71" s="43"/>
      <c r="T71" s="43"/>
      <c r="U71" s="44"/>
      <c r="V71" s="44"/>
      <c r="W71" s="44"/>
      <c r="X71" s="22"/>
      <c r="Y71" s="22"/>
      <c r="Z71" s="22"/>
      <c r="AA71" s="91"/>
      <c r="AB71" s="73"/>
      <c r="AC71" s="74"/>
      <c r="AD71" s="74"/>
      <c r="AE71" s="74"/>
      <c r="AF71" s="60"/>
      <c r="AG71" s="22"/>
      <c r="AH71" s="22"/>
    </row>
    <row r="72" spans="3:34" ht="15" customHeight="1">
      <c r="C72" s="43"/>
      <c r="D72" s="43"/>
      <c r="E72" s="43"/>
      <c r="F72" s="43"/>
      <c r="G72" s="43"/>
      <c r="H72" s="43"/>
      <c r="I72" s="43"/>
      <c r="J72" s="43"/>
      <c r="K72" s="43"/>
      <c r="L72" s="43"/>
      <c r="M72" s="43"/>
      <c r="N72" s="43"/>
      <c r="O72" s="43"/>
      <c r="P72" s="43"/>
      <c r="Q72" s="43"/>
      <c r="R72" s="43"/>
      <c r="S72" s="43"/>
      <c r="T72" s="43"/>
      <c r="U72" s="44"/>
      <c r="V72" s="44"/>
      <c r="W72" s="44"/>
      <c r="X72" s="22"/>
      <c r="Y72" s="22"/>
      <c r="Z72" s="61"/>
      <c r="AA72" s="73"/>
      <c r="AB72" s="73"/>
      <c r="AC72" s="74"/>
      <c r="AD72" s="74"/>
      <c r="AE72" s="74"/>
      <c r="AF72" s="60"/>
      <c r="AG72" s="22"/>
      <c r="AH72" s="22"/>
    </row>
    <row r="73" spans="3:34" ht="15" customHeight="1">
      <c r="C73" s="33"/>
      <c r="D73" s="33"/>
      <c r="E73" s="33"/>
      <c r="F73" s="33"/>
      <c r="G73" s="33"/>
      <c r="H73" s="33"/>
      <c r="I73" s="33"/>
      <c r="J73" s="33"/>
      <c r="K73" s="33"/>
      <c r="L73" s="33"/>
      <c r="M73" s="33"/>
      <c r="N73" s="33"/>
      <c r="O73" s="33"/>
      <c r="P73" s="33"/>
      <c r="Q73" s="33"/>
      <c r="R73" s="33"/>
      <c r="S73" s="33"/>
      <c r="T73" s="33"/>
      <c r="U73" s="92"/>
      <c r="V73" s="92"/>
      <c r="W73" s="92"/>
      <c r="X73" s="22"/>
      <c r="Y73" s="22"/>
      <c r="Z73" s="73"/>
      <c r="AA73" s="73"/>
      <c r="AB73" s="73"/>
      <c r="AC73" s="74"/>
      <c r="AD73" s="74"/>
      <c r="AE73" s="74"/>
      <c r="AF73" s="60"/>
      <c r="AG73" s="22"/>
      <c r="AH73" s="22"/>
    </row>
    <row r="74" spans="3:34" ht="15" customHeight="1">
      <c r="C74" s="33"/>
      <c r="D74" s="33"/>
      <c r="E74" s="33"/>
      <c r="F74" s="33"/>
      <c r="G74" s="33"/>
      <c r="H74" s="33"/>
      <c r="I74" s="33"/>
      <c r="J74" s="33"/>
      <c r="K74" s="33"/>
      <c r="L74" s="33"/>
      <c r="M74" s="33"/>
      <c r="N74" s="33"/>
      <c r="O74" s="33"/>
      <c r="P74" s="33"/>
      <c r="Q74" s="33"/>
      <c r="R74" s="33"/>
      <c r="S74" s="33"/>
      <c r="T74" s="33"/>
      <c r="U74" s="92"/>
      <c r="V74" s="92"/>
      <c r="W74" s="92"/>
      <c r="X74" s="22"/>
      <c r="Y74" s="22"/>
      <c r="Z74" s="73"/>
      <c r="AA74" s="73"/>
      <c r="AB74" s="73"/>
      <c r="AC74" s="74"/>
      <c r="AD74" s="74"/>
      <c r="AE74" s="74"/>
      <c r="AF74" s="60"/>
      <c r="AG74" s="22"/>
      <c r="AH74" s="22"/>
    </row>
    <row r="75" spans="3:34" ht="15" customHeight="1">
      <c r="C75" s="33"/>
      <c r="D75" s="33"/>
      <c r="E75" s="33"/>
      <c r="F75" s="33"/>
      <c r="G75" s="33"/>
      <c r="H75" s="33"/>
      <c r="I75" s="33"/>
      <c r="J75" s="33"/>
      <c r="K75" s="33"/>
      <c r="L75" s="33"/>
      <c r="M75" s="33"/>
      <c r="N75" s="33"/>
      <c r="O75" s="33"/>
      <c r="P75" s="33"/>
      <c r="Q75" s="33"/>
      <c r="R75" s="33"/>
      <c r="S75" s="33"/>
      <c r="T75" s="33"/>
      <c r="U75" s="70"/>
      <c r="V75" s="70"/>
      <c r="W75" s="70"/>
      <c r="X75" s="22"/>
      <c r="Y75" s="22"/>
      <c r="Z75" s="73"/>
      <c r="AA75" s="73"/>
      <c r="AB75" s="73"/>
      <c r="AC75" s="74"/>
      <c r="AD75" s="74"/>
      <c r="AE75" s="74"/>
      <c r="AF75" s="22"/>
      <c r="AG75" s="22"/>
      <c r="AH75" s="22"/>
    </row>
    <row r="76" spans="3:34" ht="15" customHeight="1">
      <c r="C76" s="33"/>
      <c r="D76" s="33"/>
      <c r="E76" s="33"/>
      <c r="F76" s="33"/>
      <c r="G76" s="33"/>
      <c r="H76" s="33"/>
      <c r="I76" s="33"/>
      <c r="J76" s="33"/>
      <c r="K76" s="33"/>
      <c r="L76" s="33"/>
      <c r="M76" s="33"/>
      <c r="N76" s="33"/>
      <c r="O76" s="33"/>
      <c r="P76" s="33"/>
      <c r="Q76" s="33"/>
      <c r="R76" s="33"/>
      <c r="S76" s="33"/>
      <c r="T76" s="33"/>
      <c r="U76" s="92"/>
      <c r="V76" s="92"/>
      <c r="W76" s="92"/>
      <c r="X76" s="22"/>
      <c r="Y76" s="22"/>
      <c r="Z76" s="73"/>
      <c r="AA76" s="73"/>
      <c r="AB76" s="73"/>
      <c r="AC76" s="74"/>
      <c r="AD76" s="74"/>
      <c r="AE76" s="74"/>
      <c r="AF76" s="22"/>
      <c r="AG76" s="22"/>
      <c r="AH76" s="22"/>
    </row>
    <row r="77" spans="3:34" ht="15" customHeight="1">
      <c r="C77" s="33"/>
      <c r="D77" s="33"/>
      <c r="E77" s="33"/>
      <c r="F77" s="33"/>
      <c r="G77" s="33"/>
      <c r="H77" s="33"/>
      <c r="I77" s="33"/>
      <c r="J77" s="33"/>
      <c r="K77" s="33"/>
      <c r="L77" s="33"/>
      <c r="M77" s="33"/>
      <c r="N77" s="33"/>
      <c r="O77" s="33"/>
      <c r="P77" s="33"/>
      <c r="Q77" s="33"/>
      <c r="R77" s="33"/>
      <c r="S77" s="33"/>
      <c r="T77" s="33"/>
      <c r="U77" s="70"/>
      <c r="V77" s="70"/>
      <c r="W77" s="70"/>
      <c r="X77" s="22"/>
      <c r="Y77" s="22"/>
      <c r="Z77" s="22"/>
      <c r="AA77" s="22"/>
      <c r="AB77" s="22"/>
      <c r="AC77" s="22"/>
      <c r="AD77" s="22"/>
      <c r="AE77" s="22"/>
      <c r="AF77" s="22"/>
      <c r="AG77" s="22"/>
      <c r="AH77" s="22"/>
    </row>
    <row r="78" spans="3:34" ht="15" customHeight="1">
      <c r="C78" s="33"/>
      <c r="D78" s="33"/>
      <c r="E78" s="33"/>
      <c r="F78" s="33"/>
      <c r="G78" s="33"/>
      <c r="H78" s="33"/>
      <c r="I78" s="33"/>
      <c r="J78" s="33"/>
      <c r="K78" s="33"/>
      <c r="L78" s="33"/>
      <c r="M78" s="33"/>
      <c r="N78" s="33"/>
      <c r="O78" s="33"/>
      <c r="P78" s="33"/>
      <c r="Q78" s="33"/>
      <c r="R78" s="33"/>
      <c r="S78" s="33"/>
      <c r="T78" s="33"/>
      <c r="U78" s="86"/>
      <c r="V78" s="86"/>
      <c r="W78" s="86"/>
      <c r="X78" s="22"/>
      <c r="Y78" s="22"/>
      <c r="Z78" s="22"/>
      <c r="AA78" s="22"/>
      <c r="AB78" s="22"/>
      <c r="AC78" s="22"/>
      <c r="AD78" s="22"/>
      <c r="AE78" s="22"/>
      <c r="AF78" s="22"/>
      <c r="AG78" s="22"/>
      <c r="AH78" s="22"/>
    </row>
    <row r="79" spans="3:34" ht="15" customHeight="1">
      <c r="C79" s="33"/>
      <c r="D79" s="33"/>
      <c r="E79" s="33"/>
      <c r="F79" s="33"/>
      <c r="G79" s="33"/>
      <c r="H79" s="33"/>
      <c r="I79" s="33"/>
      <c r="J79" s="33"/>
      <c r="K79" s="33"/>
      <c r="L79" s="33"/>
      <c r="M79" s="33"/>
      <c r="N79" s="33"/>
      <c r="O79" s="33"/>
      <c r="P79" s="33"/>
      <c r="Q79" s="33"/>
      <c r="R79" s="33"/>
      <c r="S79" s="33"/>
      <c r="T79" s="33"/>
      <c r="U79" s="86"/>
      <c r="V79" s="86"/>
      <c r="W79" s="86"/>
      <c r="X79" s="22"/>
      <c r="Y79" s="22"/>
      <c r="Z79" s="22"/>
      <c r="AA79" s="22"/>
      <c r="AB79" s="22"/>
      <c r="AC79" s="22"/>
      <c r="AD79" s="22"/>
      <c r="AE79" s="22"/>
      <c r="AF79" s="22"/>
      <c r="AG79" s="22"/>
      <c r="AH79" s="22"/>
    </row>
    <row r="80" spans="3:34"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row>
    <row r="81" spans="3:34"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row>
    <row r="82" spans="3:34"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row>
    <row r="83" spans="3:34" ht="15" customHeight="1">
      <c r="C83" s="43"/>
      <c r="D83" s="43"/>
      <c r="E83" s="43"/>
      <c r="F83" s="43"/>
      <c r="G83" s="43"/>
      <c r="H83" s="43"/>
      <c r="I83" s="43"/>
      <c r="J83" s="43"/>
      <c r="K83" s="43"/>
      <c r="L83" s="43"/>
      <c r="M83" s="43"/>
      <c r="N83" s="43"/>
      <c r="O83" s="43"/>
      <c r="P83" s="43"/>
      <c r="Q83" s="43"/>
      <c r="R83" s="43"/>
      <c r="S83" s="43"/>
      <c r="T83" s="43"/>
      <c r="U83" s="44"/>
      <c r="V83" s="44"/>
      <c r="W83" s="44"/>
      <c r="X83" s="22"/>
      <c r="Y83" s="22"/>
      <c r="Z83" s="22"/>
      <c r="AA83" s="22"/>
      <c r="AB83" s="22"/>
      <c r="AC83" s="22"/>
      <c r="AD83" s="22"/>
      <c r="AE83" s="22"/>
      <c r="AF83" s="22"/>
      <c r="AG83" s="22"/>
      <c r="AH83" s="22"/>
    </row>
    <row r="84" spans="3:34" ht="15" customHeight="1">
      <c r="C84" s="43"/>
      <c r="D84" s="43"/>
      <c r="E84" s="43"/>
      <c r="F84" s="43"/>
      <c r="G84" s="43"/>
      <c r="H84" s="43"/>
      <c r="I84" s="43"/>
      <c r="J84" s="43"/>
      <c r="K84" s="43"/>
      <c r="L84" s="43"/>
      <c r="M84" s="43"/>
      <c r="N84" s="43"/>
      <c r="O84" s="43"/>
      <c r="P84" s="43"/>
      <c r="Q84" s="43"/>
      <c r="R84" s="43"/>
      <c r="S84" s="43"/>
      <c r="T84" s="43"/>
      <c r="U84" s="44"/>
      <c r="V84" s="44"/>
      <c r="W84" s="44"/>
      <c r="X84" s="22"/>
      <c r="Y84" s="22"/>
      <c r="Z84" s="89"/>
      <c r="AA84" s="276"/>
      <c r="AB84" s="276"/>
      <c r="AC84" s="275"/>
      <c r="AD84" s="275"/>
      <c r="AE84" s="42"/>
      <c r="AF84" s="42"/>
      <c r="AG84" s="22"/>
      <c r="AH84" s="22"/>
    </row>
    <row r="85" spans="3:34" ht="15" customHeight="1">
      <c r="C85" s="33"/>
      <c r="D85" s="33"/>
      <c r="E85" s="33"/>
      <c r="F85" s="33"/>
      <c r="G85" s="33"/>
      <c r="H85" s="33"/>
      <c r="I85" s="33"/>
      <c r="J85" s="33"/>
      <c r="K85" s="33"/>
      <c r="L85" s="33"/>
      <c r="M85" s="33"/>
      <c r="N85" s="33"/>
      <c r="O85" s="33"/>
      <c r="P85" s="33"/>
      <c r="Q85" s="33"/>
      <c r="R85" s="33"/>
      <c r="S85" s="33"/>
      <c r="T85" s="33"/>
      <c r="U85" s="70"/>
      <c r="V85" s="70"/>
      <c r="W85" s="70"/>
      <c r="X85" s="22"/>
      <c r="Y85" s="22"/>
      <c r="Z85" s="22"/>
      <c r="AA85" s="22"/>
      <c r="AB85" s="22"/>
      <c r="AC85" s="60"/>
      <c r="AD85" s="60"/>
      <c r="AE85" s="76"/>
      <c r="AF85" s="90"/>
      <c r="AG85" s="22"/>
      <c r="AH85" s="22"/>
    </row>
    <row r="86" spans="3:34" ht="15" customHeight="1">
      <c r="C86" s="33"/>
      <c r="D86" s="33"/>
      <c r="E86" s="33"/>
      <c r="F86" s="33"/>
      <c r="G86" s="33"/>
      <c r="H86" s="33"/>
      <c r="I86" s="33"/>
      <c r="J86" s="33"/>
      <c r="K86" s="33"/>
      <c r="L86" s="33"/>
      <c r="M86" s="33"/>
      <c r="N86" s="33"/>
      <c r="O86" s="33"/>
      <c r="P86" s="33"/>
      <c r="Q86" s="33"/>
      <c r="R86" s="33"/>
      <c r="S86" s="33"/>
      <c r="T86" s="33"/>
      <c r="U86" s="70"/>
      <c r="V86" s="70"/>
      <c r="W86" s="70"/>
      <c r="X86" s="22"/>
      <c r="Y86" s="22"/>
      <c r="Z86" s="22"/>
      <c r="AA86" s="22"/>
      <c r="AB86" s="22"/>
      <c r="AC86" s="60"/>
      <c r="AD86" s="60"/>
      <c r="AE86" s="76"/>
      <c r="AF86" s="93"/>
      <c r="AG86" s="22"/>
      <c r="AH86" s="22"/>
    </row>
    <row r="87" spans="3:34" ht="15" customHeight="1">
      <c r="C87" s="33"/>
      <c r="D87" s="33"/>
      <c r="E87" s="33"/>
      <c r="F87" s="33"/>
      <c r="G87" s="33"/>
      <c r="H87" s="33"/>
      <c r="I87" s="33"/>
      <c r="J87" s="33"/>
      <c r="K87" s="33"/>
      <c r="L87" s="33"/>
      <c r="M87" s="33"/>
      <c r="N87" s="33"/>
      <c r="O87" s="33"/>
      <c r="P87" s="33"/>
      <c r="Q87" s="33"/>
      <c r="R87" s="33"/>
      <c r="S87" s="33"/>
      <c r="T87" s="33"/>
      <c r="U87" s="70"/>
      <c r="V87" s="70"/>
      <c r="W87" s="70"/>
      <c r="X87" s="22"/>
      <c r="Y87" s="22"/>
      <c r="Z87" s="58"/>
      <c r="AA87" s="79"/>
      <c r="AB87" s="79"/>
      <c r="AC87" s="58"/>
      <c r="AD87" s="59"/>
      <c r="AE87" s="59"/>
      <c r="AF87" s="60"/>
      <c r="AG87" s="22"/>
      <c r="AH87" s="22"/>
    </row>
    <row r="88" spans="3:34" ht="15" customHeight="1">
      <c r="C88" s="80"/>
      <c r="D88" s="80"/>
      <c r="E88" s="80"/>
      <c r="F88" s="80"/>
      <c r="G88" s="80"/>
      <c r="H88" s="80"/>
      <c r="I88" s="80"/>
      <c r="J88" s="80"/>
      <c r="K88" s="80"/>
      <c r="L88" s="80"/>
      <c r="M88" s="80"/>
      <c r="N88" s="80"/>
      <c r="O88" s="80"/>
      <c r="P88" s="80"/>
      <c r="Q88" s="80"/>
      <c r="R88" s="80"/>
      <c r="S88" s="80"/>
      <c r="T88" s="80"/>
      <c r="U88" s="42"/>
      <c r="V88" s="42"/>
      <c r="W88" s="42"/>
      <c r="X88" s="22"/>
      <c r="Y88" s="22"/>
      <c r="Z88" s="97"/>
      <c r="AA88" s="61"/>
      <c r="AB88" s="61"/>
      <c r="AC88" s="66"/>
      <c r="AD88" s="66"/>
      <c r="AE88" s="66"/>
      <c r="AF88" s="60"/>
      <c r="AG88" s="22"/>
      <c r="AH88" s="22"/>
    </row>
    <row r="89" spans="3:34" ht="15" customHeight="1">
      <c r="C89" s="33"/>
      <c r="D89" s="33"/>
      <c r="E89" s="33"/>
      <c r="F89" s="33"/>
      <c r="G89" s="33"/>
      <c r="H89" s="33"/>
      <c r="I89" s="33"/>
      <c r="J89" s="33"/>
      <c r="K89" s="33"/>
      <c r="L89" s="33"/>
      <c r="M89" s="33"/>
      <c r="N89" s="33"/>
      <c r="O89" s="33"/>
      <c r="P89" s="33"/>
      <c r="Q89" s="33"/>
      <c r="R89" s="33"/>
      <c r="S89" s="33"/>
      <c r="T89" s="33"/>
      <c r="U89" s="70"/>
      <c r="V89" s="70"/>
      <c r="W89" s="70"/>
      <c r="X89" s="22"/>
      <c r="Y89" s="22"/>
      <c r="Z89" s="61"/>
      <c r="AA89" s="61"/>
      <c r="AB89" s="61"/>
      <c r="AC89" s="66"/>
      <c r="AD89" s="66"/>
      <c r="AE89" s="66"/>
      <c r="AF89" s="60"/>
      <c r="AG89" s="22"/>
      <c r="AH89" s="22"/>
    </row>
    <row r="90" spans="3:34" ht="15" customHeight="1">
      <c r="C90" s="33"/>
      <c r="D90" s="33"/>
      <c r="E90" s="33"/>
      <c r="F90" s="33"/>
      <c r="G90" s="33"/>
      <c r="H90" s="33"/>
      <c r="I90" s="33"/>
      <c r="J90" s="33"/>
      <c r="K90" s="33"/>
      <c r="L90" s="33"/>
      <c r="M90" s="33"/>
      <c r="N90" s="33"/>
      <c r="O90" s="33"/>
      <c r="P90" s="33"/>
      <c r="Q90" s="33"/>
      <c r="R90" s="33"/>
      <c r="S90" s="33"/>
      <c r="T90" s="33"/>
      <c r="U90" s="70"/>
      <c r="V90" s="70"/>
      <c r="W90" s="70"/>
      <c r="X90" s="22"/>
      <c r="Y90" s="22"/>
      <c r="Z90" s="61"/>
      <c r="AA90" s="97"/>
      <c r="AB90" s="97"/>
      <c r="AC90" s="66"/>
      <c r="AD90" s="67"/>
      <c r="AE90" s="67"/>
      <c r="AF90" s="82"/>
      <c r="AG90" s="22"/>
      <c r="AH90" s="22"/>
    </row>
    <row r="91" spans="3:34" ht="15" customHeight="1">
      <c r="C91" s="33"/>
      <c r="D91" s="33"/>
      <c r="E91" s="33"/>
      <c r="F91" s="33"/>
      <c r="G91" s="33"/>
      <c r="H91" s="33"/>
      <c r="I91" s="33"/>
      <c r="J91" s="33"/>
      <c r="K91" s="33"/>
      <c r="L91" s="33"/>
      <c r="M91" s="33"/>
      <c r="N91" s="33"/>
      <c r="O91" s="33"/>
      <c r="P91" s="33"/>
      <c r="Q91" s="33"/>
      <c r="R91" s="33"/>
      <c r="S91" s="33"/>
      <c r="T91" s="33"/>
      <c r="U91" s="70"/>
      <c r="V91" s="70"/>
      <c r="W91" s="70"/>
      <c r="X91" s="22"/>
      <c r="Y91" s="22"/>
      <c r="Z91" s="61"/>
      <c r="AA91" s="97"/>
      <c r="AB91" s="97"/>
      <c r="AC91" s="66"/>
      <c r="AD91" s="67"/>
      <c r="AE91" s="67"/>
      <c r="AF91" s="60"/>
      <c r="AG91" s="22"/>
      <c r="AH91" s="22"/>
    </row>
    <row r="92" spans="3:34" ht="15" customHeight="1">
      <c r="C92" s="33"/>
      <c r="D92" s="33"/>
      <c r="E92" s="33"/>
      <c r="F92" s="33"/>
      <c r="G92" s="33"/>
      <c r="H92" s="33"/>
      <c r="I92" s="33"/>
      <c r="J92" s="33"/>
      <c r="K92" s="33"/>
      <c r="L92" s="33"/>
      <c r="M92" s="33"/>
      <c r="N92" s="33"/>
      <c r="O92" s="33"/>
      <c r="P92" s="33"/>
      <c r="Q92" s="33"/>
      <c r="R92" s="33"/>
      <c r="S92" s="33"/>
      <c r="T92" s="33"/>
      <c r="U92" s="70"/>
      <c r="V92" s="70"/>
      <c r="W92" s="70"/>
      <c r="X92" s="22"/>
      <c r="Y92" s="22"/>
      <c r="Z92" s="61"/>
      <c r="AA92" s="97"/>
      <c r="AB92" s="97"/>
      <c r="AC92" s="66"/>
      <c r="AD92" s="67"/>
      <c r="AE92" s="67"/>
      <c r="AF92" s="60"/>
      <c r="AG92" s="22"/>
      <c r="AH92" s="22"/>
    </row>
    <row r="93" spans="3:34" ht="15" customHeight="1">
      <c r="C93" s="33"/>
      <c r="D93" s="33"/>
      <c r="E93" s="33"/>
      <c r="F93" s="33"/>
      <c r="G93" s="33"/>
      <c r="H93" s="33"/>
      <c r="I93" s="33"/>
      <c r="J93" s="33"/>
      <c r="K93" s="33"/>
      <c r="L93" s="33"/>
      <c r="M93" s="33"/>
      <c r="N93" s="33"/>
      <c r="O93" s="33"/>
      <c r="P93" s="33"/>
      <c r="Q93" s="33"/>
      <c r="R93" s="33"/>
      <c r="S93" s="33"/>
      <c r="T93" s="33"/>
      <c r="U93" s="70"/>
      <c r="V93" s="70"/>
      <c r="W93" s="83"/>
      <c r="X93" s="22"/>
      <c r="Y93" s="22"/>
      <c r="Z93" s="61"/>
      <c r="AA93" s="97"/>
      <c r="AB93" s="97"/>
      <c r="AC93" s="66"/>
      <c r="AD93" s="67"/>
      <c r="AE93" s="67"/>
      <c r="AF93" s="69"/>
      <c r="AG93" s="22"/>
      <c r="AH93" s="22"/>
    </row>
    <row r="94" spans="3:34" ht="15" customHeight="1">
      <c r="C94" s="80"/>
      <c r="D94" s="80"/>
      <c r="E94" s="80"/>
      <c r="F94" s="80"/>
      <c r="G94" s="80"/>
      <c r="H94" s="80"/>
      <c r="I94" s="80"/>
      <c r="J94" s="80"/>
      <c r="K94" s="80"/>
      <c r="L94" s="80"/>
      <c r="M94" s="80"/>
      <c r="N94" s="80"/>
      <c r="O94" s="80"/>
      <c r="P94" s="80"/>
      <c r="Q94" s="80"/>
      <c r="R94" s="80"/>
      <c r="S94" s="80"/>
      <c r="T94" s="80"/>
      <c r="U94" s="42"/>
      <c r="V94" s="42"/>
      <c r="W94" s="42"/>
      <c r="X94" s="22"/>
      <c r="Y94" s="22"/>
      <c r="Z94" s="61"/>
      <c r="AA94" s="97"/>
      <c r="AB94" s="97"/>
      <c r="AC94" s="66"/>
      <c r="AD94" s="67"/>
      <c r="AE94" s="67"/>
      <c r="AF94" s="60"/>
      <c r="AG94" s="22"/>
      <c r="AH94" s="22"/>
    </row>
    <row r="95" spans="3:34" ht="15" customHeight="1">
      <c r="C95" s="33"/>
      <c r="D95" s="33"/>
      <c r="E95" s="33"/>
      <c r="F95" s="33"/>
      <c r="G95" s="33"/>
      <c r="H95" s="33"/>
      <c r="I95" s="33"/>
      <c r="J95" s="33"/>
      <c r="K95" s="33"/>
      <c r="L95" s="33"/>
      <c r="M95" s="33"/>
      <c r="N95" s="33"/>
      <c r="O95" s="33"/>
      <c r="P95" s="33"/>
      <c r="Q95" s="33"/>
      <c r="R95" s="33"/>
      <c r="S95" s="33"/>
      <c r="T95" s="33"/>
      <c r="U95" s="42"/>
      <c r="V95" s="42"/>
      <c r="W95" s="42"/>
      <c r="X95" s="22"/>
      <c r="Y95" s="22"/>
      <c r="Z95" s="61"/>
      <c r="AA95" s="97"/>
      <c r="AB95" s="97"/>
      <c r="AC95" s="66"/>
      <c r="AD95" s="67"/>
      <c r="AE95" s="67"/>
      <c r="AF95" s="66"/>
      <c r="AG95" s="22"/>
      <c r="AH95" s="22"/>
    </row>
    <row r="96" spans="3:34" ht="15" customHeight="1">
      <c r="C96" s="33"/>
      <c r="D96" s="33"/>
      <c r="E96" s="33"/>
      <c r="F96" s="33"/>
      <c r="G96" s="33"/>
      <c r="H96" s="33"/>
      <c r="I96" s="33"/>
      <c r="J96" s="33"/>
      <c r="K96" s="33"/>
      <c r="L96" s="33"/>
      <c r="M96" s="33"/>
      <c r="N96" s="33"/>
      <c r="O96" s="33"/>
      <c r="P96" s="33"/>
      <c r="Q96" s="33"/>
      <c r="R96" s="33"/>
      <c r="S96" s="33"/>
      <c r="T96" s="33"/>
      <c r="U96" s="70"/>
      <c r="V96" s="70"/>
      <c r="W96" s="70"/>
      <c r="X96" s="22"/>
      <c r="Y96" s="22"/>
      <c r="Z96" s="61"/>
      <c r="AA96" s="97"/>
      <c r="AB96" s="97"/>
      <c r="AC96" s="66"/>
      <c r="AD96" s="67"/>
      <c r="AE96" s="67"/>
      <c r="AF96" s="60"/>
      <c r="AG96" s="22"/>
      <c r="AH96" s="22"/>
    </row>
    <row r="97" spans="3:34" ht="15" customHeight="1">
      <c r="C97" s="80"/>
      <c r="D97" s="80"/>
      <c r="E97" s="80"/>
      <c r="F97" s="80"/>
      <c r="G97" s="80"/>
      <c r="H97" s="80"/>
      <c r="I97" s="80"/>
      <c r="J97" s="80"/>
      <c r="K97" s="80"/>
      <c r="L97" s="80"/>
      <c r="M97" s="80"/>
      <c r="N97" s="80"/>
      <c r="O97" s="80"/>
      <c r="P97" s="80"/>
      <c r="Q97" s="80"/>
      <c r="R97" s="80"/>
      <c r="S97" s="80"/>
      <c r="T97" s="80"/>
      <c r="U97" s="42"/>
      <c r="V97" s="42"/>
      <c r="W97" s="42"/>
      <c r="X97" s="22"/>
      <c r="Y97" s="22"/>
      <c r="Z97" s="61"/>
      <c r="AA97" s="97"/>
      <c r="AB97" s="97"/>
      <c r="AC97" s="66"/>
      <c r="AD97" s="67"/>
      <c r="AE97" s="67"/>
      <c r="AF97" s="60"/>
      <c r="AG97" s="22"/>
      <c r="AH97" s="22"/>
    </row>
    <row r="98" spans="3:34" ht="15" customHeight="1">
      <c r="C98" s="33"/>
      <c r="D98" s="33"/>
      <c r="E98" s="33"/>
      <c r="F98" s="33"/>
      <c r="G98" s="33"/>
      <c r="H98" s="33"/>
      <c r="I98" s="33"/>
      <c r="J98" s="33"/>
      <c r="K98" s="33"/>
      <c r="L98" s="33"/>
      <c r="M98" s="33"/>
      <c r="N98" s="33"/>
      <c r="O98" s="33"/>
      <c r="P98" s="33"/>
      <c r="Q98" s="33"/>
      <c r="R98" s="33"/>
      <c r="S98" s="33"/>
      <c r="T98" s="33"/>
      <c r="U98" s="86"/>
      <c r="V98" s="86"/>
      <c r="W98" s="86"/>
      <c r="X98" s="22"/>
      <c r="Y98" s="22"/>
      <c r="Z98" s="97"/>
      <c r="AA98" s="97"/>
      <c r="AB98" s="108"/>
      <c r="AC98" s="109"/>
      <c r="AD98" s="66"/>
      <c r="AE98" s="66"/>
      <c r="AF98" s="60"/>
      <c r="AG98" s="22"/>
      <c r="AH98" s="22"/>
    </row>
    <row r="99" spans="3:34" ht="15" customHeight="1">
      <c r="C99" s="33"/>
      <c r="D99" s="33"/>
      <c r="E99" s="33"/>
      <c r="F99" s="33"/>
      <c r="G99" s="33"/>
      <c r="H99" s="33"/>
      <c r="I99" s="33"/>
      <c r="J99" s="33"/>
      <c r="K99" s="33"/>
      <c r="L99" s="33"/>
      <c r="M99" s="33"/>
      <c r="N99" s="33"/>
      <c r="O99" s="33"/>
      <c r="P99" s="33"/>
      <c r="Q99" s="33"/>
      <c r="R99" s="33"/>
      <c r="S99" s="33"/>
      <c r="T99" s="33"/>
      <c r="U99" s="86"/>
      <c r="V99" s="86"/>
      <c r="W99" s="86"/>
      <c r="X99" s="22"/>
      <c r="Y99" s="22"/>
      <c r="Z99" s="73"/>
      <c r="AA99" s="73"/>
      <c r="AB99" s="73"/>
      <c r="AC99" s="74"/>
      <c r="AD99" s="74"/>
      <c r="AE99" s="74"/>
      <c r="AF99" s="60"/>
      <c r="AG99" s="22"/>
      <c r="AH99" s="22"/>
    </row>
    <row r="100" spans="3:34" ht="15" customHeight="1">
      <c r="C100" s="43"/>
      <c r="D100" s="43"/>
      <c r="E100" s="43"/>
      <c r="F100" s="43"/>
      <c r="G100" s="43"/>
      <c r="H100" s="43"/>
      <c r="I100" s="43"/>
      <c r="J100" s="43"/>
      <c r="K100" s="43"/>
      <c r="L100" s="43"/>
      <c r="M100" s="43"/>
      <c r="N100" s="43"/>
      <c r="O100" s="43"/>
      <c r="P100" s="43"/>
      <c r="Q100" s="43"/>
      <c r="R100" s="43"/>
      <c r="S100" s="43"/>
      <c r="T100" s="43"/>
      <c r="U100" s="44"/>
      <c r="V100" s="44"/>
      <c r="W100" s="44"/>
      <c r="X100" s="22"/>
      <c r="Y100" s="22"/>
      <c r="Z100" s="22"/>
      <c r="AA100" s="91"/>
      <c r="AB100" s="73"/>
      <c r="AC100" s="74"/>
      <c r="AD100" s="74"/>
      <c r="AE100" s="74"/>
      <c r="AF100" s="60"/>
      <c r="AG100" s="22"/>
      <c r="AH100" s="22"/>
    </row>
    <row r="101" spans="3:34" ht="15" customHeight="1">
      <c r="C101" s="43"/>
      <c r="D101" s="43"/>
      <c r="E101" s="43"/>
      <c r="F101" s="43"/>
      <c r="G101" s="43"/>
      <c r="H101" s="43"/>
      <c r="I101" s="43"/>
      <c r="J101" s="43"/>
      <c r="K101" s="43"/>
      <c r="L101" s="43"/>
      <c r="M101" s="43"/>
      <c r="N101" s="43"/>
      <c r="O101" s="43"/>
      <c r="P101" s="43"/>
      <c r="Q101" s="43"/>
      <c r="R101" s="43"/>
      <c r="S101" s="43"/>
      <c r="T101" s="43"/>
      <c r="U101" s="44"/>
      <c r="V101" s="44"/>
      <c r="W101" s="44"/>
      <c r="X101" s="22"/>
      <c r="Y101" s="22"/>
      <c r="Z101" s="61"/>
      <c r="AA101" s="73"/>
      <c r="AB101" s="73"/>
      <c r="AC101" s="74"/>
      <c r="AD101" s="74"/>
      <c r="AE101" s="74"/>
      <c r="AF101" s="60"/>
      <c r="AG101" s="22"/>
      <c r="AH101" s="22"/>
    </row>
    <row r="102" spans="3:34" ht="15" customHeight="1">
      <c r="C102" s="33"/>
      <c r="D102" s="33"/>
      <c r="E102" s="33"/>
      <c r="F102" s="33"/>
      <c r="G102" s="33"/>
      <c r="H102" s="33"/>
      <c r="I102" s="33"/>
      <c r="J102" s="33"/>
      <c r="K102" s="33"/>
      <c r="L102" s="33"/>
      <c r="M102" s="33"/>
      <c r="N102" s="33"/>
      <c r="O102" s="33"/>
      <c r="P102" s="33"/>
      <c r="Q102" s="33"/>
      <c r="R102" s="33"/>
      <c r="S102" s="33"/>
      <c r="T102" s="33"/>
      <c r="U102" s="92"/>
      <c r="V102" s="92"/>
      <c r="W102" s="92"/>
      <c r="X102" s="22"/>
      <c r="Y102" s="22"/>
      <c r="Z102" s="73"/>
      <c r="AA102" s="73"/>
      <c r="AB102" s="73"/>
      <c r="AC102" s="74"/>
      <c r="AD102" s="74"/>
      <c r="AE102" s="74"/>
      <c r="AF102" s="60"/>
      <c r="AG102" s="22"/>
      <c r="AH102" s="22"/>
    </row>
    <row r="103" spans="3:34" ht="15" customHeight="1">
      <c r="C103" s="33"/>
      <c r="D103" s="33"/>
      <c r="E103" s="33"/>
      <c r="F103" s="33"/>
      <c r="G103" s="33"/>
      <c r="H103" s="33"/>
      <c r="I103" s="33"/>
      <c r="J103" s="33"/>
      <c r="K103" s="33"/>
      <c r="L103" s="33"/>
      <c r="M103" s="33"/>
      <c r="N103" s="33"/>
      <c r="O103" s="33"/>
      <c r="P103" s="33"/>
      <c r="Q103" s="33"/>
      <c r="R103" s="33"/>
      <c r="S103" s="33"/>
      <c r="T103" s="33"/>
      <c r="U103" s="92"/>
      <c r="V103" s="92"/>
      <c r="W103" s="92"/>
      <c r="X103" s="22"/>
      <c r="Y103" s="22"/>
      <c r="Z103" s="73"/>
      <c r="AA103" s="73"/>
      <c r="AB103" s="73"/>
      <c r="AC103" s="74"/>
      <c r="AD103" s="74"/>
      <c r="AE103" s="74"/>
      <c r="AF103" s="60"/>
      <c r="AG103" s="22"/>
      <c r="AH103" s="22"/>
    </row>
    <row r="104" spans="3:34" ht="15" customHeight="1">
      <c r="C104" s="33"/>
      <c r="D104" s="33"/>
      <c r="E104" s="33"/>
      <c r="F104" s="33"/>
      <c r="G104" s="33"/>
      <c r="H104" s="33"/>
      <c r="I104" s="33"/>
      <c r="J104" s="33"/>
      <c r="K104" s="33"/>
      <c r="L104" s="33"/>
      <c r="M104" s="33"/>
      <c r="N104" s="33"/>
      <c r="O104" s="33"/>
      <c r="P104" s="33"/>
      <c r="Q104" s="33"/>
      <c r="R104" s="33"/>
      <c r="S104" s="33"/>
      <c r="T104" s="33"/>
      <c r="U104" s="70"/>
      <c r="V104" s="70"/>
      <c r="W104" s="70"/>
      <c r="X104" s="22"/>
      <c r="Y104" s="22"/>
      <c r="Z104" s="73"/>
      <c r="AA104" s="73"/>
      <c r="AB104" s="73"/>
      <c r="AC104" s="74"/>
      <c r="AD104" s="74"/>
      <c r="AE104" s="74"/>
      <c r="AF104" s="22"/>
      <c r="AG104" s="22"/>
      <c r="AH104" s="22"/>
    </row>
    <row r="105" spans="3:34" ht="15" customHeight="1">
      <c r="C105" s="33"/>
      <c r="D105" s="33"/>
      <c r="E105" s="33"/>
      <c r="F105" s="33"/>
      <c r="G105" s="33"/>
      <c r="H105" s="33"/>
      <c r="I105" s="33"/>
      <c r="J105" s="33"/>
      <c r="K105" s="33"/>
      <c r="L105" s="33"/>
      <c r="M105" s="33"/>
      <c r="N105" s="33"/>
      <c r="O105" s="33"/>
      <c r="P105" s="33"/>
      <c r="Q105" s="33"/>
      <c r="R105" s="33"/>
      <c r="S105" s="33"/>
      <c r="T105" s="33"/>
      <c r="U105" s="92"/>
      <c r="V105" s="92"/>
      <c r="W105" s="92"/>
      <c r="X105" s="22"/>
      <c r="Y105" s="22"/>
      <c r="Z105" s="73"/>
      <c r="AA105" s="73"/>
      <c r="AB105" s="73"/>
      <c r="AC105" s="74"/>
      <c r="AD105" s="74"/>
      <c r="AE105" s="74"/>
      <c r="AF105" s="22"/>
      <c r="AG105" s="22"/>
      <c r="AH105" s="22"/>
    </row>
    <row r="106" spans="3:34" ht="15" customHeight="1">
      <c r="C106" s="33"/>
      <c r="D106" s="33"/>
      <c r="E106" s="33"/>
      <c r="F106" s="33"/>
      <c r="G106" s="33"/>
      <c r="H106" s="33"/>
      <c r="I106" s="33"/>
      <c r="J106" s="33"/>
      <c r="K106" s="33"/>
      <c r="L106" s="33"/>
      <c r="M106" s="33"/>
      <c r="N106" s="33"/>
      <c r="O106" s="33"/>
      <c r="P106" s="33"/>
      <c r="Q106" s="33"/>
      <c r="R106" s="33"/>
      <c r="S106" s="33"/>
      <c r="T106" s="33"/>
      <c r="U106" s="70"/>
      <c r="V106" s="70"/>
      <c r="W106" s="70"/>
      <c r="X106" s="22"/>
      <c r="Y106" s="22"/>
      <c r="Z106" s="22"/>
      <c r="AA106" s="22"/>
      <c r="AB106" s="22"/>
      <c r="AC106" s="22"/>
      <c r="AD106" s="22"/>
      <c r="AE106" s="22"/>
      <c r="AF106" s="22"/>
      <c r="AG106" s="22"/>
      <c r="AH106" s="22"/>
    </row>
    <row r="107" spans="3:34" ht="15" customHeight="1">
      <c r="C107" s="33"/>
      <c r="D107" s="33"/>
      <c r="E107" s="33"/>
      <c r="F107" s="33"/>
      <c r="G107" s="33"/>
      <c r="H107" s="33"/>
      <c r="I107" s="33"/>
      <c r="J107" s="33"/>
      <c r="K107" s="33"/>
      <c r="L107" s="33"/>
      <c r="M107" s="33"/>
      <c r="N107" s="33"/>
      <c r="O107" s="33"/>
      <c r="P107" s="33"/>
      <c r="Q107" s="33"/>
      <c r="R107" s="33"/>
      <c r="S107" s="33"/>
      <c r="T107" s="33"/>
      <c r="U107" s="86"/>
      <c r="V107" s="86"/>
      <c r="W107" s="86"/>
      <c r="X107" s="22"/>
      <c r="Y107" s="22"/>
      <c r="Z107" s="22"/>
      <c r="AA107" s="22"/>
      <c r="AB107" s="22"/>
      <c r="AC107" s="22"/>
      <c r="AD107" s="22"/>
      <c r="AE107" s="22"/>
      <c r="AF107" s="22"/>
      <c r="AG107" s="22"/>
      <c r="AH107" s="22"/>
    </row>
    <row r="108" spans="3:34" ht="15" customHeight="1">
      <c r="C108" s="33"/>
      <c r="D108" s="33"/>
      <c r="E108" s="33"/>
      <c r="F108" s="33"/>
      <c r="G108" s="33"/>
      <c r="H108" s="33"/>
      <c r="I108" s="33"/>
      <c r="J108" s="33"/>
      <c r="K108" s="33"/>
      <c r="L108" s="33"/>
      <c r="M108" s="33"/>
      <c r="N108" s="33"/>
      <c r="O108" s="33"/>
      <c r="P108" s="33"/>
      <c r="Q108" s="33"/>
      <c r="R108" s="33"/>
      <c r="S108" s="33"/>
      <c r="T108" s="33"/>
      <c r="U108" s="86"/>
      <c r="V108" s="86"/>
      <c r="W108" s="86"/>
      <c r="X108" s="22"/>
      <c r="Y108" s="22"/>
      <c r="Z108" s="22"/>
      <c r="AA108" s="22"/>
      <c r="AB108" s="22"/>
      <c r="AC108" s="22"/>
      <c r="AD108" s="22"/>
      <c r="AE108" s="22"/>
      <c r="AF108" s="22"/>
      <c r="AG108" s="22"/>
      <c r="AH108" s="22"/>
    </row>
    <row r="109" spans="3:34"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row>
    <row r="110" spans="3:34"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row>
    <row r="111" spans="3:34"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row>
    <row r="112" spans="3:34" ht="15" customHeight="1">
      <c r="C112" s="43"/>
      <c r="D112" s="43"/>
      <c r="E112" s="43"/>
      <c r="F112" s="43"/>
      <c r="G112" s="43"/>
      <c r="H112" s="43"/>
      <c r="I112" s="43"/>
      <c r="J112" s="43"/>
      <c r="K112" s="43"/>
      <c r="L112" s="43"/>
      <c r="M112" s="43"/>
      <c r="N112" s="43"/>
      <c r="O112" s="43"/>
      <c r="P112" s="43"/>
      <c r="Q112" s="43"/>
      <c r="R112" s="43"/>
      <c r="S112" s="43"/>
      <c r="T112" s="43"/>
      <c r="U112" s="44"/>
      <c r="V112" s="44"/>
      <c r="W112" s="44"/>
      <c r="X112" s="22"/>
      <c r="Y112" s="22"/>
      <c r="Z112" s="22"/>
      <c r="AA112" s="22"/>
      <c r="AB112" s="22"/>
      <c r="AC112" s="22"/>
      <c r="AD112" s="22"/>
      <c r="AE112" s="22"/>
      <c r="AF112" s="22"/>
      <c r="AG112" s="22"/>
      <c r="AH112" s="22"/>
    </row>
    <row r="113" spans="3:34" ht="15" customHeight="1">
      <c r="C113" s="43"/>
      <c r="D113" s="43"/>
      <c r="E113" s="43"/>
      <c r="F113" s="43"/>
      <c r="G113" s="43"/>
      <c r="H113" s="43"/>
      <c r="I113" s="43"/>
      <c r="J113" s="43"/>
      <c r="K113" s="43"/>
      <c r="L113" s="43"/>
      <c r="M113" s="43"/>
      <c r="N113" s="43"/>
      <c r="O113" s="43"/>
      <c r="P113" s="43"/>
      <c r="Q113" s="43"/>
      <c r="R113" s="43"/>
      <c r="S113" s="43"/>
      <c r="T113" s="43"/>
      <c r="U113" s="44"/>
      <c r="V113" s="44"/>
      <c r="W113" s="44"/>
      <c r="X113" s="22"/>
      <c r="Y113" s="22"/>
      <c r="Z113" s="89"/>
      <c r="AA113" s="276"/>
      <c r="AB113" s="276"/>
      <c r="AC113" s="275"/>
      <c r="AD113" s="275"/>
      <c r="AE113" s="42"/>
      <c r="AF113" s="42"/>
      <c r="AG113" s="22"/>
      <c r="AH113" s="22"/>
    </row>
    <row r="114" spans="3:34" ht="15" customHeight="1">
      <c r="C114" s="33"/>
      <c r="D114" s="33"/>
      <c r="E114" s="33"/>
      <c r="F114" s="33"/>
      <c r="G114" s="33"/>
      <c r="H114" s="33"/>
      <c r="I114" s="33"/>
      <c r="J114" s="33"/>
      <c r="K114" s="33"/>
      <c r="L114" s="33"/>
      <c r="M114" s="33"/>
      <c r="N114" s="33"/>
      <c r="O114" s="33"/>
      <c r="P114" s="33"/>
      <c r="Q114" s="33"/>
      <c r="R114" s="33"/>
      <c r="S114" s="33"/>
      <c r="T114" s="33"/>
      <c r="U114" s="70"/>
      <c r="V114" s="70"/>
      <c r="W114" s="70"/>
      <c r="X114" s="22"/>
      <c r="Y114" s="22"/>
      <c r="Z114" s="22"/>
      <c r="AA114" s="22"/>
      <c r="AB114" s="22"/>
      <c r="AC114" s="60"/>
      <c r="AD114" s="60"/>
      <c r="AE114" s="76"/>
      <c r="AF114" s="90"/>
      <c r="AG114" s="22"/>
      <c r="AH114" s="22"/>
    </row>
    <row r="115" spans="3:34" ht="15" customHeight="1">
      <c r="C115" s="33"/>
      <c r="D115" s="33"/>
      <c r="E115" s="33"/>
      <c r="F115" s="33"/>
      <c r="G115" s="33"/>
      <c r="H115" s="33"/>
      <c r="I115" s="33"/>
      <c r="J115" s="33"/>
      <c r="K115" s="33"/>
      <c r="L115" s="33"/>
      <c r="M115" s="33"/>
      <c r="N115" s="33"/>
      <c r="O115" s="33"/>
      <c r="P115" s="33"/>
      <c r="Q115" s="33"/>
      <c r="R115" s="33"/>
      <c r="S115" s="33"/>
      <c r="T115" s="33"/>
      <c r="U115" s="70"/>
      <c r="V115" s="70"/>
      <c r="W115" s="70"/>
      <c r="X115" s="22"/>
      <c r="Y115" s="22"/>
      <c r="Z115" s="22"/>
      <c r="AA115" s="22"/>
      <c r="AB115" s="22"/>
      <c r="AC115" s="60"/>
      <c r="AD115" s="60"/>
      <c r="AE115" s="76"/>
      <c r="AF115" s="93"/>
      <c r="AG115" s="22"/>
      <c r="AH115" s="22"/>
    </row>
    <row r="116" spans="3:34" ht="15" customHeight="1">
      <c r="C116" s="33"/>
      <c r="D116" s="33"/>
      <c r="E116" s="33"/>
      <c r="F116" s="33"/>
      <c r="G116" s="33"/>
      <c r="H116" s="33"/>
      <c r="I116" s="33"/>
      <c r="J116" s="33"/>
      <c r="K116" s="33"/>
      <c r="L116" s="33"/>
      <c r="M116" s="33"/>
      <c r="N116" s="33"/>
      <c r="O116" s="33"/>
      <c r="P116" s="33"/>
      <c r="Q116" s="33"/>
      <c r="R116" s="33"/>
      <c r="S116" s="33"/>
      <c r="T116" s="33"/>
      <c r="U116" s="70"/>
      <c r="V116" s="70"/>
      <c r="W116" s="70"/>
      <c r="X116" s="22"/>
      <c r="Y116" s="22"/>
      <c r="Z116" s="58"/>
      <c r="AA116" s="79"/>
      <c r="AB116" s="79"/>
      <c r="AC116" s="58"/>
      <c r="AD116" s="59"/>
      <c r="AE116" s="59"/>
      <c r="AF116" s="60"/>
      <c r="AG116" s="22"/>
      <c r="AH116" s="22"/>
    </row>
    <row r="117" spans="3:34" ht="15" customHeight="1">
      <c r="C117" s="80"/>
      <c r="D117" s="80"/>
      <c r="E117" s="80"/>
      <c r="F117" s="80"/>
      <c r="G117" s="80"/>
      <c r="H117" s="80"/>
      <c r="I117" s="80"/>
      <c r="J117" s="80"/>
      <c r="K117" s="80"/>
      <c r="L117" s="80"/>
      <c r="M117" s="80"/>
      <c r="N117" s="80"/>
      <c r="O117" s="80"/>
      <c r="P117" s="80"/>
      <c r="Q117" s="80"/>
      <c r="R117" s="80"/>
      <c r="S117" s="80"/>
      <c r="T117" s="80"/>
      <c r="U117" s="42"/>
      <c r="V117" s="42"/>
      <c r="W117" s="42"/>
      <c r="X117" s="22"/>
      <c r="Y117" s="22"/>
      <c r="Z117" s="97"/>
      <c r="AA117" s="61"/>
      <c r="AB117" s="61"/>
      <c r="AC117" s="66"/>
      <c r="AD117" s="66"/>
      <c r="AE117" s="66"/>
      <c r="AF117" s="60"/>
      <c r="AG117" s="22"/>
      <c r="AH117" s="22"/>
    </row>
    <row r="118" spans="3:34" ht="15" customHeight="1">
      <c r="C118" s="33"/>
      <c r="D118" s="33"/>
      <c r="E118" s="33"/>
      <c r="F118" s="33"/>
      <c r="G118" s="33"/>
      <c r="H118" s="33"/>
      <c r="I118" s="33"/>
      <c r="J118" s="33"/>
      <c r="K118" s="33"/>
      <c r="L118" s="33"/>
      <c r="M118" s="33"/>
      <c r="N118" s="33"/>
      <c r="O118" s="33"/>
      <c r="P118" s="33"/>
      <c r="Q118" s="33"/>
      <c r="R118" s="33"/>
      <c r="S118" s="33"/>
      <c r="T118" s="33"/>
      <c r="U118" s="70"/>
      <c r="V118" s="70"/>
      <c r="W118" s="70"/>
      <c r="X118" s="22"/>
      <c r="Y118" s="22"/>
      <c r="Z118" s="61"/>
      <c r="AA118" s="61"/>
      <c r="AB118" s="61"/>
      <c r="AC118" s="66"/>
      <c r="AD118" s="66"/>
      <c r="AE118" s="66"/>
      <c r="AF118" s="60"/>
      <c r="AG118" s="22"/>
      <c r="AH118" s="22"/>
    </row>
    <row r="119" spans="3:34" ht="15" customHeight="1">
      <c r="C119" s="33"/>
      <c r="D119" s="33"/>
      <c r="E119" s="33"/>
      <c r="F119" s="33"/>
      <c r="G119" s="33"/>
      <c r="H119" s="33"/>
      <c r="I119" s="33"/>
      <c r="J119" s="33"/>
      <c r="K119" s="33"/>
      <c r="L119" s="33"/>
      <c r="M119" s="33"/>
      <c r="N119" s="33"/>
      <c r="O119" s="33"/>
      <c r="P119" s="33"/>
      <c r="Q119" s="33"/>
      <c r="R119" s="33"/>
      <c r="S119" s="33"/>
      <c r="T119" s="33"/>
      <c r="U119" s="70"/>
      <c r="V119" s="70"/>
      <c r="W119" s="70"/>
      <c r="X119" s="22"/>
      <c r="Y119" s="22"/>
      <c r="Z119" s="61"/>
      <c r="AA119" s="97"/>
      <c r="AB119" s="97"/>
      <c r="AC119" s="66"/>
      <c r="AD119" s="67"/>
      <c r="AE119" s="67"/>
      <c r="AF119" s="82"/>
      <c r="AG119" s="22"/>
      <c r="AH119" s="22"/>
    </row>
    <row r="120" spans="3:34" ht="15" customHeight="1">
      <c r="C120" s="33"/>
      <c r="D120" s="33"/>
      <c r="E120" s="33"/>
      <c r="F120" s="33"/>
      <c r="G120" s="33"/>
      <c r="H120" s="33"/>
      <c r="I120" s="33"/>
      <c r="J120" s="33"/>
      <c r="K120" s="33"/>
      <c r="L120" s="33"/>
      <c r="M120" s="33"/>
      <c r="N120" s="33"/>
      <c r="O120" s="33"/>
      <c r="P120" s="33"/>
      <c r="Q120" s="33"/>
      <c r="R120" s="33"/>
      <c r="S120" s="33"/>
      <c r="T120" s="33"/>
      <c r="U120" s="70"/>
      <c r="V120" s="70"/>
      <c r="W120" s="70"/>
      <c r="X120" s="22"/>
      <c r="Y120" s="22"/>
      <c r="Z120" s="61"/>
      <c r="AA120" s="97"/>
      <c r="AB120" s="97"/>
      <c r="AC120" s="66"/>
      <c r="AD120" s="67"/>
      <c r="AE120" s="67"/>
      <c r="AF120" s="60"/>
      <c r="AG120" s="22"/>
      <c r="AH120" s="22"/>
    </row>
    <row r="121" spans="3:34" ht="15" customHeight="1">
      <c r="C121" s="33"/>
      <c r="D121" s="33"/>
      <c r="E121" s="33"/>
      <c r="F121" s="33"/>
      <c r="G121" s="33"/>
      <c r="H121" s="33"/>
      <c r="I121" s="33"/>
      <c r="J121" s="33"/>
      <c r="K121" s="33"/>
      <c r="L121" s="33"/>
      <c r="M121" s="33"/>
      <c r="N121" s="33"/>
      <c r="O121" s="33"/>
      <c r="P121" s="33"/>
      <c r="Q121" s="33"/>
      <c r="R121" s="33"/>
      <c r="S121" s="33"/>
      <c r="T121" s="33"/>
      <c r="U121" s="70"/>
      <c r="V121" s="70"/>
      <c r="W121" s="70"/>
      <c r="X121" s="22"/>
      <c r="Y121" s="22"/>
      <c r="Z121" s="61"/>
      <c r="AA121" s="97"/>
      <c r="AB121" s="97"/>
      <c r="AC121" s="66"/>
      <c r="AD121" s="67"/>
      <c r="AE121" s="67"/>
      <c r="AF121" s="60"/>
      <c r="AG121" s="22"/>
      <c r="AH121" s="22"/>
    </row>
    <row r="122" spans="3:34" ht="15" customHeight="1">
      <c r="C122" s="33"/>
      <c r="D122" s="33"/>
      <c r="E122" s="33"/>
      <c r="F122" s="33"/>
      <c r="G122" s="33"/>
      <c r="H122" s="33"/>
      <c r="I122" s="33"/>
      <c r="J122" s="33"/>
      <c r="K122" s="33"/>
      <c r="L122" s="33"/>
      <c r="M122" s="33"/>
      <c r="N122" s="33"/>
      <c r="O122" s="33"/>
      <c r="P122" s="33"/>
      <c r="Q122" s="33"/>
      <c r="R122" s="33"/>
      <c r="S122" s="33"/>
      <c r="T122" s="33"/>
      <c r="U122" s="70"/>
      <c r="V122" s="70"/>
      <c r="W122" s="83"/>
      <c r="X122" s="22"/>
      <c r="Y122" s="22"/>
      <c r="Z122" s="61"/>
      <c r="AA122" s="97"/>
      <c r="AB122" s="97"/>
      <c r="AC122" s="66"/>
      <c r="AD122" s="67"/>
      <c r="AE122" s="67"/>
      <c r="AF122" s="69"/>
      <c r="AG122" s="22"/>
      <c r="AH122" s="22"/>
    </row>
    <row r="123" spans="3:34" ht="15" customHeight="1">
      <c r="C123" s="80"/>
      <c r="D123" s="80"/>
      <c r="E123" s="80"/>
      <c r="F123" s="80"/>
      <c r="G123" s="80"/>
      <c r="H123" s="80"/>
      <c r="I123" s="80"/>
      <c r="J123" s="80"/>
      <c r="K123" s="80"/>
      <c r="L123" s="80"/>
      <c r="M123" s="80"/>
      <c r="N123" s="80"/>
      <c r="O123" s="80"/>
      <c r="P123" s="80"/>
      <c r="Q123" s="80"/>
      <c r="R123" s="80"/>
      <c r="S123" s="80"/>
      <c r="T123" s="80"/>
      <c r="U123" s="42"/>
      <c r="V123" s="42"/>
      <c r="W123" s="42"/>
      <c r="X123" s="22"/>
      <c r="Y123" s="22"/>
      <c r="Z123" s="61"/>
      <c r="AA123" s="97"/>
      <c r="AB123" s="97"/>
      <c r="AC123" s="66"/>
      <c r="AD123" s="67"/>
      <c r="AE123" s="67"/>
      <c r="AF123" s="60"/>
      <c r="AG123" s="22"/>
      <c r="AH123" s="22"/>
    </row>
    <row r="124" spans="3:34" ht="15" customHeight="1">
      <c r="C124" s="33"/>
      <c r="D124" s="33"/>
      <c r="E124" s="33"/>
      <c r="F124" s="33"/>
      <c r="G124" s="33"/>
      <c r="H124" s="33"/>
      <c r="I124" s="33"/>
      <c r="J124" s="33"/>
      <c r="K124" s="33"/>
      <c r="L124" s="33"/>
      <c r="M124" s="33"/>
      <c r="N124" s="33"/>
      <c r="O124" s="33"/>
      <c r="P124" s="33"/>
      <c r="Q124" s="33"/>
      <c r="R124" s="33"/>
      <c r="S124" s="33"/>
      <c r="T124" s="33"/>
      <c r="U124" s="42"/>
      <c r="V124" s="42"/>
      <c r="W124" s="42"/>
      <c r="X124" s="22"/>
      <c r="Y124" s="22"/>
      <c r="Z124" s="61"/>
      <c r="AA124" s="97"/>
      <c r="AB124" s="97"/>
      <c r="AC124" s="66"/>
      <c r="AD124" s="67"/>
      <c r="AE124" s="67"/>
      <c r="AF124" s="66"/>
      <c r="AG124" s="22"/>
      <c r="AH124" s="22"/>
    </row>
    <row r="125" spans="3:34" ht="15" customHeight="1">
      <c r="C125" s="33"/>
      <c r="D125" s="33"/>
      <c r="E125" s="33"/>
      <c r="F125" s="33"/>
      <c r="G125" s="33"/>
      <c r="H125" s="33"/>
      <c r="I125" s="33"/>
      <c r="J125" s="33"/>
      <c r="K125" s="33"/>
      <c r="L125" s="33"/>
      <c r="M125" s="33"/>
      <c r="N125" s="33"/>
      <c r="O125" s="33"/>
      <c r="P125" s="33"/>
      <c r="Q125" s="33"/>
      <c r="R125" s="33"/>
      <c r="S125" s="33"/>
      <c r="T125" s="33"/>
      <c r="U125" s="70"/>
      <c r="V125" s="70"/>
      <c r="W125" s="70"/>
      <c r="X125" s="22"/>
      <c r="Y125" s="22"/>
      <c r="Z125" s="61"/>
      <c r="AA125" s="97"/>
      <c r="AB125" s="97"/>
      <c r="AC125" s="66"/>
      <c r="AD125" s="67"/>
      <c r="AE125" s="67"/>
      <c r="AF125" s="60"/>
      <c r="AG125" s="22"/>
      <c r="AH125" s="22"/>
    </row>
    <row r="126" spans="3:34" ht="15" customHeight="1">
      <c r="C126" s="80"/>
      <c r="D126" s="80"/>
      <c r="E126" s="80"/>
      <c r="F126" s="80"/>
      <c r="G126" s="80"/>
      <c r="H126" s="80"/>
      <c r="I126" s="80"/>
      <c r="J126" s="80"/>
      <c r="K126" s="80"/>
      <c r="L126" s="80"/>
      <c r="M126" s="80"/>
      <c r="N126" s="80"/>
      <c r="O126" s="80"/>
      <c r="P126" s="80"/>
      <c r="Q126" s="80"/>
      <c r="R126" s="80"/>
      <c r="S126" s="80"/>
      <c r="T126" s="80"/>
      <c r="U126" s="42"/>
      <c r="V126" s="42"/>
      <c r="W126" s="42"/>
      <c r="X126" s="22"/>
      <c r="Y126" s="22"/>
      <c r="Z126" s="61"/>
      <c r="AA126" s="97"/>
      <c r="AB126" s="97"/>
      <c r="AC126" s="66"/>
      <c r="AD126" s="67"/>
      <c r="AE126" s="67"/>
      <c r="AF126" s="60"/>
      <c r="AG126" s="22"/>
      <c r="AH126" s="22"/>
    </row>
    <row r="127" spans="3:34" ht="15" customHeight="1">
      <c r="C127" s="33"/>
      <c r="D127" s="33"/>
      <c r="E127" s="33"/>
      <c r="F127" s="33"/>
      <c r="G127" s="33"/>
      <c r="H127" s="33"/>
      <c r="I127" s="33"/>
      <c r="J127" s="33"/>
      <c r="K127" s="33"/>
      <c r="L127" s="33"/>
      <c r="M127" s="33"/>
      <c r="N127" s="33"/>
      <c r="O127" s="33"/>
      <c r="P127" s="33"/>
      <c r="Q127" s="33"/>
      <c r="R127" s="33"/>
      <c r="S127" s="33"/>
      <c r="T127" s="33"/>
      <c r="U127" s="86"/>
      <c r="V127" s="86"/>
      <c r="W127" s="86"/>
      <c r="X127" s="22"/>
      <c r="Y127" s="22"/>
      <c r="Z127" s="97"/>
      <c r="AA127" s="97"/>
      <c r="AB127" s="108"/>
      <c r="AC127" s="109"/>
      <c r="AD127" s="66"/>
      <c r="AE127" s="66"/>
      <c r="AF127" s="60"/>
      <c r="AG127" s="22"/>
      <c r="AH127" s="22"/>
    </row>
    <row r="128" spans="3:34" ht="15" customHeight="1">
      <c r="C128" s="33"/>
      <c r="D128" s="33"/>
      <c r="E128" s="33"/>
      <c r="F128" s="33"/>
      <c r="G128" s="33"/>
      <c r="H128" s="33"/>
      <c r="I128" s="33"/>
      <c r="J128" s="33"/>
      <c r="K128" s="33"/>
      <c r="L128" s="33"/>
      <c r="M128" s="33"/>
      <c r="N128" s="33"/>
      <c r="O128" s="33"/>
      <c r="P128" s="33"/>
      <c r="Q128" s="33"/>
      <c r="R128" s="33"/>
      <c r="S128" s="33"/>
      <c r="T128" s="33"/>
      <c r="U128" s="86"/>
      <c r="V128" s="86"/>
      <c r="W128" s="86"/>
      <c r="X128" s="22"/>
      <c r="Y128" s="22"/>
      <c r="Z128" s="73"/>
      <c r="AA128" s="73"/>
      <c r="AB128" s="73"/>
      <c r="AC128" s="74"/>
      <c r="AD128" s="74"/>
      <c r="AE128" s="74"/>
      <c r="AF128" s="60"/>
      <c r="AG128" s="22"/>
      <c r="AH128" s="22"/>
    </row>
    <row r="129" spans="3:34" ht="15" customHeight="1">
      <c r="C129" s="43"/>
      <c r="D129" s="43"/>
      <c r="E129" s="43"/>
      <c r="F129" s="43"/>
      <c r="G129" s="43"/>
      <c r="H129" s="43"/>
      <c r="I129" s="43"/>
      <c r="J129" s="43"/>
      <c r="K129" s="43"/>
      <c r="L129" s="43"/>
      <c r="M129" s="43"/>
      <c r="N129" s="43"/>
      <c r="O129" s="43"/>
      <c r="P129" s="43"/>
      <c r="Q129" s="43"/>
      <c r="R129" s="43"/>
      <c r="S129" s="43"/>
      <c r="T129" s="43"/>
      <c r="U129" s="44"/>
      <c r="V129" s="44"/>
      <c r="W129" s="44"/>
      <c r="X129" s="22"/>
      <c r="Y129" s="22"/>
      <c r="Z129" s="22"/>
      <c r="AA129" s="91"/>
      <c r="AB129" s="73"/>
      <c r="AC129" s="74"/>
      <c r="AD129" s="74"/>
      <c r="AE129" s="74"/>
      <c r="AF129" s="60"/>
      <c r="AG129" s="22"/>
      <c r="AH129" s="22"/>
    </row>
    <row r="130" spans="3:34" ht="15" customHeight="1">
      <c r="C130" s="43"/>
      <c r="D130" s="43"/>
      <c r="E130" s="43"/>
      <c r="F130" s="43"/>
      <c r="G130" s="43"/>
      <c r="H130" s="43"/>
      <c r="I130" s="43"/>
      <c r="J130" s="43"/>
      <c r="K130" s="43"/>
      <c r="L130" s="43"/>
      <c r="M130" s="43"/>
      <c r="N130" s="43"/>
      <c r="O130" s="43"/>
      <c r="P130" s="43"/>
      <c r="Q130" s="43"/>
      <c r="R130" s="43"/>
      <c r="S130" s="43"/>
      <c r="T130" s="43"/>
      <c r="U130" s="44"/>
      <c r="V130" s="44"/>
      <c r="W130" s="44"/>
      <c r="X130" s="22"/>
      <c r="Y130" s="22"/>
      <c r="Z130" s="61"/>
      <c r="AA130" s="73"/>
      <c r="AB130" s="73"/>
      <c r="AC130" s="74"/>
      <c r="AD130" s="74"/>
      <c r="AE130" s="74"/>
      <c r="AF130" s="60"/>
      <c r="AG130" s="22"/>
      <c r="AH130" s="22"/>
    </row>
    <row r="131" spans="3:34" ht="15" customHeight="1">
      <c r="C131" s="33"/>
      <c r="D131" s="33"/>
      <c r="E131" s="33"/>
      <c r="F131" s="33"/>
      <c r="G131" s="33"/>
      <c r="H131" s="33"/>
      <c r="I131" s="33"/>
      <c r="J131" s="33"/>
      <c r="K131" s="33"/>
      <c r="L131" s="33"/>
      <c r="M131" s="33"/>
      <c r="N131" s="33"/>
      <c r="O131" s="33"/>
      <c r="P131" s="33"/>
      <c r="Q131" s="33"/>
      <c r="R131" s="33"/>
      <c r="S131" s="33"/>
      <c r="T131" s="33"/>
      <c r="U131" s="92"/>
      <c r="V131" s="92"/>
      <c r="W131" s="92"/>
      <c r="X131" s="22"/>
      <c r="Y131" s="22"/>
      <c r="Z131" s="73"/>
      <c r="AA131" s="73"/>
      <c r="AB131" s="73"/>
      <c r="AC131" s="74"/>
      <c r="AD131" s="74"/>
      <c r="AE131" s="74"/>
      <c r="AF131" s="60"/>
      <c r="AG131" s="22"/>
      <c r="AH131" s="22"/>
    </row>
    <row r="132" spans="3:34" ht="15" customHeight="1">
      <c r="C132" s="33"/>
      <c r="D132" s="33"/>
      <c r="E132" s="33"/>
      <c r="F132" s="33"/>
      <c r="G132" s="33"/>
      <c r="H132" s="33"/>
      <c r="I132" s="33"/>
      <c r="J132" s="33"/>
      <c r="K132" s="33"/>
      <c r="L132" s="33"/>
      <c r="M132" s="33"/>
      <c r="N132" s="33"/>
      <c r="O132" s="33"/>
      <c r="P132" s="33"/>
      <c r="Q132" s="33"/>
      <c r="R132" s="33"/>
      <c r="S132" s="33"/>
      <c r="T132" s="33"/>
      <c r="U132" s="92"/>
      <c r="V132" s="92"/>
      <c r="W132" s="92"/>
      <c r="X132" s="22"/>
      <c r="Y132" s="22"/>
      <c r="Z132" s="73"/>
      <c r="AA132" s="73"/>
      <c r="AB132" s="73"/>
      <c r="AC132" s="74"/>
      <c r="AD132" s="74"/>
      <c r="AE132" s="74"/>
      <c r="AF132" s="60"/>
      <c r="AG132" s="22"/>
      <c r="AH132" s="22"/>
    </row>
    <row r="133" spans="3:34" ht="15" customHeight="1">
      <c r="C133" s="33"/>
      <c r="D133" s="33"/>
      <c r="E133" s="33"/>
      <c r="F133" s="33"/>
      <c r="G133" s="33"/>
      <c r="H133" s="33"/>
      <c r="I133" s="33"/>
      <c r="J133" s="33"/>
      <c r="K133" s="33"/>
      <c r="L133" s="33"/>
      <c r="M133" s="33"/>
      <c r="N133" s="33"/>
      <c r="O133" s="33"/>
      <c r="P133" s="33"/>
      <c r="Q133" s="33"/>
      <c r="R133" s="33"/>
      <c r="S133" s="33"/>
      <c r="T133" s="33"/>
      <c r="U133" s="70"/>
      <c r="V133" s="70"/>
      <c r="W133" s="70"/>
      <c r="X133" s="22"/>
      <c r="Y133" s="22"/>
      <c r="Z133" s="73"/>
      <c r="AA133" s="73"/>
      <c r="AB133" s="73"/>
      <c r="AC133" s="74"/>
      <c r="AD133" s="74"/>
      <c r="AE133" s="74"/>
      <c r="AF133" s="22"/>
      <c r="AG133" s="22"/>
      <c r="AH133" s="22"/>
    </row>
    <row r="134" spans="3:34" ht="15" customHeight="1">
      <c r="C134" s="33"/>
      <c r="D134" s="33"/>
      <c r="E134" s="33"/>
      <c r="F134" s="33"/>
      <c r="G134" s="33"/>
      <c r="H134" s="33"/>
      <c r="I134" s="33"/>
      <c r="J134" s="33"/>
      <c r="K134" s="33"/>
      <c r="L134" s="33"/>
      <c r="M134" s="33"/>
      <c r="N134" s="33"/>
      <c r="O134" s="33"/>
      <c r="P134" s="33"/>
      <c r="Q134" s="33"/>
      <c r="R134" s="33"/>
      <c r="S134" s="33"/>
      <c r="T134" s="33"/>
      <c r="U134" s="92"/>
      <c r="V134" s="92"/>
      <c r="W134" s="92"/>
      <c r="X134" s="22"/>
      <c r="Y134" s="22"/>
      <c r="Z134" s="73"/>
      <c r="AA134" s="73"/>
      <c r="AB134" s="73"/>
      <c r="AC134" s="74"/>
      <c r="AD134" s="74"/>
      <c r="AE134" s="74"/>
      <c r="AF134" s="22"/>
      <c r="AG134" s="22"/>
      <c r="AH134" s="22"/>
    </row>
    <row r="135" spans="3:34" ht="15" customHeight="1">
      <c r="C135" s="33"/>
      <c r="D135" s="33"/>
      <c r="E135" s="33"/>
      <c r="F135" s="33"/>
      <c r="G135" s="33"/>
      <c r="H135" s="33"/>
      <c r="I135" s="33"/>
      <c r="J135" s="33"/>
      <c r="K135" s="33"/>
      <c r="L135" s="33"/>
      <c r="M135" s="33"/>
      <c r="N135" s="33"/>
      <c r="O135" s="33"/>
      <c r="P135" s="33"/>
      <c r="Q135" s="33"/>
      <c r="R135" s="33"/>
      <c r="S135" s="33"/>
      <c r="T135" s="33"/>
      <c r="U135" s="70"/>
      <c r="V135" s="70"/>
      <c r="W135" s="70"/>
      <c r="X135" s="22"/>
      <c r="Y135" s="22"/>
      <c r="Z135" s="22"/>
      <c r="AA135" s="22"/>
      <c r="AB135" s="22"/>
      <c r="AC135" s="22"/>
      <c r="AD135" s="22"/>
      <c r="AE135" s="22"/>
      <c r="AF135" s="22"/>
      <c r="AG135" s="22"/>
      <c r="AH135" s="22"/>
    </row>
    <row r="136" spans="3:34" ht="15" customHeight="1">
      <c r="C136" s="33"/>
      <c r="D136" s="33"/>
      <c r="E136" s="33"/>
      <c r="F136" s="33"/>
      <c r="G136" s="33"/>
      <c r="H136" s="33"/>
      <c r="I136" s="33"/>
      <c r="J136" s="33"/>
      <c r="K136" s="33"/>
      <c r="L136" s="33"/>
      <c r="M136" s="33"/>
      <c r="N136" s="33"/>
      <c r="O136" s="33"/>
      <c r="P136" s="33"/>
      <c r="Q136" s="33"/>
      <c r="R136" s="33"/>
      <c r="S136" s="33"/>
      <c r="T136" s="33"/>
      <c r="U136" s="86"/>
      <c r="V136" s="86"/>
      <c r="W136" s="86"/>
      <c r="X136" s="22"/>
      <c r="Y136" s="22"/>
      <c r="Z136" s="22"/>
      <c r="AA136" s="22"/>
      <c r="AB136" s="22"/>
      <c r="AC136" s="22"/>
      <c r="AD136" s="22"/>
      <c r="AE136" s="22"/>
      <c r="AF136" s="22"/>
      <c r="AG136" s="22"/>
      <c r="AH136" s="22"/>
    </row>
    <row r="137" spans="3:34" ht="15" customHeight="1">
      <c r="C137" s="33"/>
      <c r="D137" s="33"/>
      <c r="E137" s="33"/>
      <c r="F137" s="33"/>
      <c r="G137" s="33"/>
      <c r="H137" s="33"/>
      <c r="I137" s="33"/>
      <c r="J137" s="33"/>
      <c r="K137" s="33"/>
      <c r="L137" s="33"/>
      <c r="M137" s="33"/>
      <c r="N137" s="33"/>
      <c r="O137" s="33"/>
      <c r="P137" s="33"/>
      <c r="Q137" s="33"/>
      <c r="R137" s="33"/>
      <c r="S137" s="33"/>
      <c r="T137" s="33"/>
      <c r="U137" s="86"/>
      <c r="V137" s="86"/>
      <c r="W137" s="86"/>
      <c r="X137" s="22"/>
      <c r="Y137" s="22"/>
      <c r="Z137" s="22"/>
      <c r="AA137" s="22"/>
      <c r="AB137" s="22"/>
      <c r="AC137" s="22"/>
      <c r="AD137" s="22"/>
      <c r="AE137" s="22"/>
      <c r="AF137" s="22"/>
      <c r="AG137" s="22"/>
      <c r="AH137" s="22"/>
    </row>
    <row r="138" spans="3:34"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row>
    <row r="139" spans="3:34"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row>
    <row r="140" spans="3:34"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row>
    <row r="141" spans="3:34" ht="15" customHeight="1">
      <c r="C141" s="43"/>
      <c r="D141" s="43"/>
      <c r="E141" s="43"/>
      <c r="F141" s="43"/>
      <c r="G141" s="43"/>
      <c r="H141" s="43"/>
      <c r="I141" s="43"/>
      <c r="J141" s="43"/>
      <c r="K141" s="43"/>
      <c r="L141" s="43"/>
      <c r="M141" s="43"/>
      <c r="N141" s="43"/>
      <c r="O141" s="43"/>
      <c r="P141" s="43"/>
      <c r="Q141" s="43"/>
      <c r="R141" s="43"/>
      <c r="S141" s="43"/>
      <c r="T141" s="43"/>
      <c r="U141" s="44"/>
      <c r="V141" s="44"/>
      <c r="W141" s="44"/>
      <c r="X141" s="22"/>
      <c r="Y141" s="22"/>
      <c r="Z141" s="22"/>
      <c r="AA141" s="22"/>
      <c r="AB141" s="22"/>
      <c r="AC141" s="22"/>
      <c r="AD141" s="22"/>
      <c r="AE141" s="22"/>
      <c r="AF141" s="22"/>
      <c r="AG141" s="22"/>
      <c r="AH141" s="22"/>
    </row>
    <row r="142" spans="3:34" ht="15" customHeight="1">
      <c r="C142" s="43"/>
      <c r="D142" s="43"/>
      <c r="E142" s="43"/>
      <c r="F142" s="43"/>
      <c r="G142" s="43"/>
      <c r="H142" s="43"/>
      <c r="I142" s="43"/>
      <c r="J142" s="43"/>
      <c r="K142" s="43"/>
      <c r="L142" s="43"/>
      <c r="M142" s="43"/>
      <c r="N142" s="43"/>
      <c r="O142" s="43"/>
      <c r="P142" s="43"/>
      <c r="Q142" s="43"/>
      <c r="R142" s="43"/>
      <c r="S142" s="43"/>
      <c r="T142" s="43"/>
      <c r="U142" s="44"/>
      <c r="V142" s="44"/>
      <c r="W142" s="44"/>
      <c r="X142" s="22"/>
      <c r="Y142" s="22"/>
      <c r="Z142" s="89"/>
      <c r="AA142" s="276"/>
      <c r="AB142" s="276"/>
      <c r="AC142" s="275"/>
      <c r="AD142" s="275"/>
      <c r="AE142" s="42"/>
      <c r="AF142" s="42"/>
      <c r="AG142" s="22"/>
      <c r="AH142" s="22"/>
    </row>
    <row r="143" spans="3:34" ht="15" customHeight="1">
      <c r="C143" s="33"/>
      <c r="D143" s="33"/>
      <c r="E143" s="33"/>
      <c r="F143" s="33"/>
      <c r="G143" s="33"/>
      <c r="H143" s="33"/>
      <c r="I143" s="33"/>
      <c r="J143" s="33"/>
      <c r="K143" s="33"/>
      <c r="L143" s="33"/>
      <c r="M143" s="33"/>
      <c r="N143" s="33"/>
      <c r="O143" s="33"/>
      <c r="P143" s="33"/>
      <c r="Q143" s="33"/>
      <c r="R143" s="33"/>
      <c r="S143" s="33"/>
      <c r="T143" s="33"/>
      <c r="U143" s="70"/>
      <c r="V143" s="70"/>
      <c r="W143" s="70"/>
      <c r="X143" s="22"/>
      <c r="Y143" s="22"/>
      <c r="Z143" s="22"/>
      <c r="AA143" s="22"/>
      <c r="AB143" s="22"/>
      <c r="AC143" s="60"/>
      <c r="AD143" s="60"/>
      <c r="AE143" s="76"/>
      <c r="AF143" s="90"/>
      <c r="AG143" s="22"/>
      <c r="AH143" s="22"/>
    </row>
    <row r="144" spans="3:34" ht="15" customHeight="1">
      <c r="C144" s="33"/>
      <c r="D144" s="33"/>
      <c r="E144" s="33"/>
      <c r="F144" s="33"/>
      <c r="G144" s="33"/>
      <c r="H144" s="33"/>
      <c r="I144" s="33"/>
      <c r="J144" s="33"/>
      <c r="K144" s="33"/>
      <c r="L144" s="33"/>
      <c r="M144" s="33"/>
      <c r="N144" s="33"/>
      <c r="O144" s="33"/>
      <c r="P144" s="33"/>
      <c r="Q144" s="33"/>
      <c r="R144" s="33"/>
      <c r="S144" s="33"/>
      <c r="T144" s="33"/>
      <c r="U144" s="70"/>
      <c r="V144" s="70"/>
      <c r="W144" s="70"/>
      <c r="X144" s="22"/>
      <c r="Y144" s="22"/>
      <c r="Z144" s="22"/>
      <c r="AA144" s="22"/>
      <c r="AB144" s="22"/>
      <c r="AC144" s="60"/>
      <c r="AD144" s="60"/>
      <c r="AE144" s="76"/>
      <c r="AF144" s="93"/>
      <c r="AG144" s="22"/>
      <c r="AH144" s="22"/>
    </row>
    <row r="145" spans="3:34" ht="15" customHeight="1">
      <c r="C145" s="33"/>
      <c r="D145" s="33"/>
      <c r="E145" s="33"/>
      <c r="F145" s="33"/>
      <c r="G145" s="33"/>
      <c r="H145" s="33"/>
      <c r="I145" s="33"/>
      <c r="J145" s="33"/>
      <c r="K145" s="33"/>
      <c r="L145" s="33"/>
      <c r="M145" s="33"/>
      <c r="N145" s="33"/>
      <c r="O145" s="33"/>
      <c r="P145" s="33"/>
      <c r="Q145" s="33"/>
      <c r="R145" s="33"/>
      <c r="S145" s="33"/>
      <c r="T145" s="33"/>
      <c r="U145" s="70"/>
      <c r="V145" s="70"/>
      <c r="W145" s="70"/>
      <c r="X145" s="22"/>
      <c r="Y145" s="22"/>
      <c r="Z145" s="58"/>
      <c r="AA145" s="79"/>
      <c r="AB145" s="79"/>
      <c r="AC145" s="58"/>
      <c r="AD145" s="59"/>
      <c r="AE145" s="59"/>
      <c r="AF145" s="60"/>
      <c r="AG145" s="22"/>
      <c r="AH145" s="22"/>
    </row>
    <row r="146" spans="3:34" ht="15" customHeight="1">
      <c r="C146" s="80"/>
      <c r="D146" s="80"/>
      <c r="E146" s="80"/>
      <c r="F146" s="80"/>
      <c r="G146" s="80"/>
      <c r="H146" s="80"/>
      <c r="I146" s="80"/>
      <c r="J146" s="80"/>
      <c r="K146" s="80"/>
      <c r="L146" s="80"/>
      <c r="M146" s="80"/>
      <c r="N146" s="80"/>
      <c r="O146" s="80"/>
      <c r="P146" s="80"/>
      <c r="Q146" s="80"/>
      <c r="R146" s="80"/>
      <c r="S146" s="80"/>
      <c r="T146" s="80"/>
      <c r="U146" s="42"/>
      <c r="V146" s="42"/>
      <c r="W146" s="42"/>
      <c r="X146" s="22"/>
      <c r="Y146" s="22"/>
      <c r="Z146" s="97"/>
      <c r="AA146" s="61"/>
      <c r="AB146" s="61"/>
      <c r="AC146" s="66"/>
      <c r="AD146" s="66"/>
      <c r="AE146" s="66"/>
      <c r="AF146" s="60"/>
      <c r="AG146" s="22"/>
      <c r="AH146" s="22"/>
    </row>
    <row r="147" spans="3:34" ht="15" customHeight="1">
      <c r="C147" s="33"/>
      <c r="D147" s="33"/>
      <c r="E147" s="33"/>
      <c r="F147" s="33"/>
      <c r="G147" s="33"/>
      <c r="H147" s="33"/>
      <c r="I147" s="33"/>
      <c r="J147" s="33"/>
      <c r="K147" s="33"/>
      <c r="L147" s="33"/>
      <c r="M147" s="33"/>
      <c r="N147" s="33"/>
      <c r="O147" s="33"/>
      <c r="P147" s="33"/>
      <c r="Q147" s="33"/>
      <c r="R147" s="33"/>
      <c r="S147" s="33"/>
      <c r="T147" s="33"/>
      <c r="U147" s="70"/>
      <c r="V147" s="70"/>
      <c r="W147" s="70"/>
      <c r="X147" s="22"/>
      <c r="Y147" s="22"/>
      <c r="Z147" s="61"/>
      <c r="AA147" s="61"/>
      <c r="AB147" s="61"/>
      <c r="AC147" s="66"/>
      <c r="AD147" s="66"/>
      <c r="AE147" s="66"/>
      <c r="AF147" s="60"/>
      <c r="AG147" s="22"/>
      <c r="AH147" s="22"/>
    </row>
    <row r="148" spans="3:34" ht="15" customHeight="1">
      <c r="C148" s="33"/>
      <c r="D148" s="33"/>
      <c r="E148" s="33"/>
      <c r="F148" s="33"/>
      <c r="G148" s="33"/>
      <c r="H148" s="33"/>
      <c r="I148" s="33"/>
      <c r="J148" s="33"/>
      <c r="K148" s="33"/>
      <c r="L148" s="33"/>
      <c r="M148" s="33"/>
      <c r="N148" s="33"/>
      <c r="O148" s="33"/>
      <c r="P148" s="33"/>
      <c r="Q148" s="33"/>
      <c r="R148" s="33"/>
      <c r="S148" s="33"/>
      <c r="T148" s="33"/>
      <c r="U148" s="70"/>
      <c r="V148" s="70"/>
      <c r="W148" s="70"/>
      <c r="X148" s="22"/>
      <c r="Y148" s="22"/>
      <c r="Z148" s="61"/>
      <c r="AA148" s="97"/>
      <c r="AB148" s="97"/>
      <c r="AC148" s="66"/>
      <c r="AD148" s="67"/>
      <c r="AE148" s="67"/>
      <c r="AF148" s="82"/>
      <c r="AG148" s="22"/>
      <c r="AH148" s="22"/>
    </row>
  </sheetData>
  <sheetProtection/>
  <mergeCells count="11">
    <mergeCell ref="AA6:AB6"/>
    <mergeCell ref="AC6:AD6"/>
    <mergeCell ref="AE6:AF6"/>
    <mergeCell ref="AA55:AB55"/>
    <mergeCell ref="AC55:AD55"/>
    <mergeCell ref="AA142:AB142"/>
    <mergeCell ref="AC142:AD142"/>
    <mergeCell ref="AA84:AB84"/>
    <mergeCell ref="AC84:AD84"/>
    <mergeCell ref="AA113:AB113"/>
    <mergeCell ref="AC113:AD113"/>
  </mergeCells>
  <conditionalFormatting sqref="B124:B128 B105:B106 B112:B116 B66:B74 B76:B77 B83:B87 B95:B103">
    <cfRule type="cellIs" priority="1" dxfId="0" operator="notEqual" stopIfTrue="1">
      <formula>"OK"</formula>
    </cfRule>
  </conditionalFormatting>
  <conditionalFormatting sqref="AI8:AK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S6:Y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R138"/>
  <sheetViews>
    <sheetView zoomScalePageLayoutView="0" workbookViewId="0" topLeftCell="C1">
      <selection activeCell="C1" sqref="C1"/>
    </sheetView>
  </sheetViews>
  <sheetFormatPr defaultColWidth="15.00390625" defaultRowHeight="15" customHeight="1"/>
  <cols>
    <col min="1" max="1" width="15.00390625" style="39" hidden="1" customWidth="1"/>
    <col min="2" max="2" width="15.00390625" style="25" hidden="1" customWidth="1"/>
    <col min="3" max="3" width="82.140625" style="20" customWidth="1"/>
    <col min="4" max="16" width="16.28125" style="20" customWidth="1"/>
    <col min="17" max="16384" width="15.00390625" style="20" customWidth="1"/>
  </cols>
  <sheetData>
    <row r="1" spans="1:2" ht="15" customHeight="1">
      <c r="A1" s="38" t="s">
        <v>102</v>
      </c>
      <c r="B1" s="24">
        <v>1</v>
      </c>
    </row>
    <row r="2" spans="1:17" ht="15" customHeight="1">
      <c r="A2" s="25" t="s">
        <v>27</v>
      </c>
      <c r="B2" s="25" t="s">
        <v>13</v>
      </c>
      <c r="C2" s="26" t="str">
        <f>IF($B$1=1,B2,A2)</f>
        <v>Arket indeholder følgende information:</v>
      </c>
      <c r="D2" s="26"/>
      <c r="E2" s="26"/>
      <c r="F2" s="26"/>
      <c r="G2" s="26"/>
      <c r="H2" s="26"/>
      <c r="I2" s="26"/>
      <c r="J2" s="26"/>
      <c r="K2" s="26"/>
      <c r="L2" s="26"/>
      <c r="M2" s="26"/>
      <c r="N2" s="26"/>
      <c r="O2" s="26"/>
      <c r="P2" s="26"/>
      <c r="Q2" s="26"/>
    </row>
    <row r="3" ht="15" customHeight="1">
      <c r="B3" s="25" t="s">
        <v>25</v>
      </c>
    </row>
    <row r="4" ht="15" customHeight="1">
      <c r="B4" s="25" t="s">
        <v>26</v>
      </c>
    </row>
    <row r="6" spans="1:44" ht="15" customHeight="1">
      <c r="A6" s="27" t="s">
        <v>93</v>
      </c>
      <c r="B6" s="25" t="s">
        <v>7</v>
      </c>
      <c r="C6" s="26" t="str">
        <f>IF($B$1=1,B6,A6)</f>
        <v>Udbytte</v>
      </c>
      <c r="D6" s="172">
        <v>2019</v>
      </c>
      <c r="E6" s="172">
        <v>2018</v>
      </c>
      <c r="F6" s="172">
        <v>2017</v>
      </c>
      <c r="G6" s="172">
        <v>2016</v>
      </c>
      <c r="H6" s="172">
        <v>2015</v>
      </c>
      <c r="I6" s="172">
        <v>2014</v>
      </c>
      <c r="J6" s="172">
        <v>2013</v>
      </c>
      <c r="K6" s="172">
        <v>2012</v>
      </c>
      <c r="L6" s="172">
        <v>2011</v>
      </c>
      <c r="M6" s="172">
        <v>2010</v>
      </c>
      <c r="N6" s="172">
        <v>2009</v>
      </c>
      <c r="O6" s="172">
        <v>2008</v>
      </c>
      <c r="P6" s="172">
        <v>2007</v>
      </c>
      <c r="Q6" s="172">
        <v>2006</v>
      </c>
      <c r="R6" s="40">
        <v>2005</v>
      </c>
      <c r="S6" s="40" t="s">
        <v>106</v>
      </c>
      <c r="T6" s="40" t="s">
        <v>41</v>
      </c>
      <c r="U6" s="40" t="s">
        <v>8</v>
      </c>
      <c r="V6" s="40" t="s">
        <v>9</v>
      </c>
      <c r="W6" s="40" t="s">
        <v>10</v>
      </c>
      <c r="X6" s="40" t="s">
        <v>11</v>
      </c>
      <c r="Y6" s="40" t="s">
        <v>12</v>
      </c>
      <c r="Z6" s="40" t="s">
        <v>28</v>
      </c>
      <c r="AA6" s="40" t="s">
        <v>75</v>
      </c>
      <c r="AB6" s="40" t="s">
        <v>76</v>
      </c>
      <c r="AC6" s="41" t="s">
        <v>77</v>
      </c>
      <c r="AD6" s="275"/>
      <c r="AE6" s="275"/>
      <c r="AF6" s="275"/>
      <c r="AG6" s="275"/>
      <c r="AH6" s="22"/>
      <c r="AI6" s="22"/>
      <c r="AJ6" s="22"/>
      <c r="AK6" s="22"/>
      <c r="AL6" s="22"/>
      <c r="AM6" s="22"/>
      <c r="AO6" s="43"/>
      <c r="AP6" s="44"/>
      <c r="AQ6" s="44"/>
      <c r="AR6" s="44"/>
    </row>
    <row r="7" spans="1:44" s="32" customFormat="1" ht="15" customHeight="1">
      <c r="A7" s="45"/>
      <c r="B7" s="29"/>
      <c r="C7" s="30"/>
      <c r="D7" s="173"/>
      <c r="E7" s="173"/>
      <c r="F7" s="173"/>
      <c r="G7" s="173"/>
      <c r="H7" s="173"/>
      <c r="I7" s="173"/>
      <c r="J7" s="173"/>
      <c r="K7" s="173"/>
      <c r="L7" s="173"/>
      <c r="M7" s="173"/>
      <c r="N7" s="173"/>
      <c r="O7" s="173"/>
      <c r="P7" s="173"/>
      <c r="Q7" s="173"/>
      <c r="R7" s="46"/>
      <c r="S7" s="46"/>
      <c r="T7" s="46"/>
      <c r="U7" s="46"/>
      <c r="V7" s="47"/>
      <c r="W7" s="48"/>
      <c r="X7" s="48"/>
      <c r="Y7" s="46"/>
      <c r="Z7" s="46"/>
      <c r="AA7" s="46"/>
      <c r="AB7" s="46"/>
      <c r="AC7" s="49"/>
      <c r="AD7" s="50"/>
      <c r="AE7" s="50"/>
      <c r="AF7" s="51"/>
      <c r="AG7" s="52"/>
      <c r="AH7" s="53"/>
      <c r="AI7" s="53"/>
      <c r="AJ7" s="53"/>
      <c r="AK7" s="53"/>
      <c r="AL7" s="53"/>
      <c r="AM7" s="53"/>
      <c r="AO7" s="54"/>
      <c r="AP7" s="55"/>
      <c r="AQ7" s="55"/>
      <c r="AR7" s="55"/>
    </row>
    <row r="8" spans="1:39" ht="15" customHeight="1">
      <c r="A8" s="27" t="s">
        <v>237</v>
      </c>
      <c r="B8" s="27" t="s">
        <v>78</v>
      </c>
      <c r="C8" s="33" t="str">
        <f aca="true" t="shared" si="0" ref="C8:C13">IF($B$1=1,B8,A8)</f>
        <v>Udbytte pr. aktie (kr.)</v>
      </c>
      <c r="D8" s="198">
        <v>0</v>
      </c>
      <c r="E8" s="62">
        <v>8.5</v>
      </c>
      <c r="F8" s="62">
        <v>10</v>
      </c>
      <c r="G8" s="62">
        <v>9</v>
      </c>
      <c r="H8" s="62">
        <v>8</v>
      </c>
      <c r="I8" s="62">
        <v>5.5</v>
      </c>
      <c r="J8" s="62">
        <v>2</v>
      </c>
      <c r="K8" s="239">
        <v>0</v>
      </c>
      <c r="L8" s="239">
        <v>0</v>
      </c>
      <c r="M8" s="239">
        <v>0</v>
      </c>
      <c r="N8" s="198">
        <v>0</v>
      </c>
      <c r="O8" s="198">
        <v>0</v>
      </c>
      <c r="P8" s="212">
        <v>8.5</v>
      </c>
      <c r="Q8" s="212">
        <v>7.75</v>
      </c>
      <c r="R8" s="56">
        <v>10</v>
      </c>
      <c r="S8" s="56">
        <v>7.85</v>
      </c>
      <c r="T8" s="56">
        <v>6.55</v>
      </c>
      <c r="U8" s="56">
        <v>4.75</v>
      </c>
      <c r="V8" s="57">
        <v>4.75</v>
      </c>
      <c r="W8" s="57">
        <v>4.4</v>
      </c>
      <c r="X8" s="57">
        <v>2.5</v>
      </c>
      <c r="Y8" s="57">
        <v>1.8</v>
      </c>
      <c r="Z8" s="57">
        <v>1.8</v>
      </c>
      <c r="AA8" s="57">
        <v>1.6</v>
      </c>
      <c r="AB8" s="57">
        <v>1.6</v>
      </c>
      <c r="AC8" s="57">
        <v>1.2</v>
      </c>
      <c r="AD8" s="58"/>
      <c r="AE8" s="59"/>
      <c r="AF8" s="59"/>
      <c r="AG8" s="60"/>
      <c r="AH8" s="22"/>
      <c r="AI8" s="22"/>
      <c r="AJ8" s="61"/>
      <c r="AK8" s="61"/>
      <c r="AL8" s="61"/>
      <c r="AM8" s="22"/>
    </row>
    <row r="9" spans="1:38" s="21" customFormat="1" ht="15" customHeight="1">
      <c r="A9" s="27" t="s">
        <v>194</v>
      </c>
      <c r="B9" s="27" t="s">
        <v>143</v>
      </c>
      <c r="C9" s="33" t="str">
        <f t="shared" si="0"/>
        <v>Udbytte pr. aktie/børskurs ultimo (pct.)</v>
      </c>
      <c r="D9" s="239">
        <v>0</v>
      </c>
      <c r="E9" s="239">
        <v>6.6</v>
      </c>
      <c r="F9" s="239">
        <v>4.1</v>
      </c>
      <c r="G9" s="239">
        <v>4.2</v>
      </c>
      <c r="H9" s="239">
        <v>4.3</v>
      </c>
      <c r="I9" s="239">
        <v>3.3</v>
      </c>
      <c r="J9" s="239">
        <v>1.6</v>
      </c>
      <c r="K9" s="239">
        <v>0</v>
      </c>
      <c r="L9" s="239">
        <v>0</v>
      </c>
      <c r="M9" s="239">
        <v>0</v>
      </c>
      <c r="N9" s="198">
        <v>0</v>
      </c>
      <c r="O9" s="198">
        <v>0</v>
      </c>
      <c r="P9" s="212">
        <v>4.3</v>
      </c>
      <c r="Q9" s="62">
        <v>3.1</v>
      </c>
      <c r="R9" s="62">
        <v>4.520795660036167</v>
      </c>
      <c r="S9" s="62">
        <v>4.686567164179104</v>
      </c>
      <c r="T9" s="62">
        <v>4.719020172910662</v>
      </c>
      <c r="U9" s="62">
        <v>4</v>
      </c>
      <c r="V9" s="63">
        <v>3.5</v>
      </c>
      <c r="W9" s="63">
        <v>3.1</v>
      </c>
      <c r="X9" s="63">
        <v>3.1</v>
      </c>
      <c r="Y9" s="63">
        <v>2.1</v>
      </c>
      <c r="Z9" s="63">
        <v>2</v>
      </c>
      <c r="AA9" s="63">
        <v>3.4</v>
      </c>
      <c r="AB9" s="63">
        <v>4.2</v>
      </c>
      <c r="AC9" s="63">
        <v>3.6</v>
      </c>
      <c r="AD9" s="64"/>
      <c r="AE9" s="64"/>
      <c r="AF9" s="64"/>
      <c r="AG9" s="58"/>
      <c r="AJ9" s="65"/>
      <c r="AK9" s="65"/>
      <c r="AL9" s="65"/>
    </row>
    <row r="10" spans="1:39" ht="15" customHeight="1">
      <c r="A10" s="27" t="s">
        <v>195</v>
      </c>
      <c r="B10" s="27" t="s">
        <v>123</v>
      </c>
      <c r="C10" s="33" t="str">
        <f t="shared" si="0"/>
        <v>Payout ratio (pct.)</v>
      </c>
      <c r="D10" s="239">
        <v>0</v>
      </c>
      <c r="E10" s="239">
        <v>50</v>
      </c>
      <c r="F10" s="239">
        <v>45</v>
      </c>
      <c r="G10" s="239">
        <v>45</v>
      </c>
      <c r="H10" s="239">
        <v>46</v>
      </c>
      <c r="I10" s="239">
        <v>43</v>
      </c>
      <c r="J10" s="239">
        <v>28</v>
      </c>
      <c r="K10" s="239">
        <v>0</v>
      </c>
      <c r="L10" s="239">
        <v>0</v>
      </c>
      <c r="M10" s="239">
        <v>0</v>
      </c>
      <c r="N10" s="198">
        <v>0</v>
      </c>
      <c r="O10" s="198">
        <v>0</v>
      </c>
      <c r="P10" s="198">
        <v>40</v>
      </c>
      <c r="Q10" s="198">
        <v>40</v>
      </c>
      <c r="R10" s="37">
        <v>50</v>
      </c>
      <c r="S10" s="37">
        <v>50</v>
      </c>
      <c r="T10" s="37">
        <v>50</v>
      </c>
      <c r="U10" s="37">
        <v>42</v>
      </c>
      <c r="V10" s="37">
        <v>40</v>
      </c>
      <c r="W10" s="37">
        <v>54</v>
      </c>
      <c r="X10" s="37">
        <v>27</v>
      </c>
      <c r="Y10" s="37">
        <v>24</v>
      </c>
      <c r="Z10" s="37">
        <v>23</v>
      </c>
      <c r="AA10" s="37">
        <v>23</v>
      </c>
      <c r="AB10" s="37">
        <v>23</v>
      </c>
      <c r="AC10" s="37">
        <v>77</v>
      </c>
      <c r="AD10" s="66"/>
      <c r="AE10" s="67"/>
      <c r="AF10" s="67"/>
      <c r="AG10" s="60"/>
      <c r="AH10" s="22"/>
      <c r="AI10" s="22"/>
      <c r="AJ10" s="22"/>
      <c r="AK10" s="22"/>
      <c r="AL10" s="22"/>
      <c r="AM10" s="22"/>
    </row>
    <row r="11" spans="1:39" ht="15" customHeight="1">
      <c r="A11" s="27" t="s">
        <v>199</v>
      </c>
      <c r="B11" s="27" t="s">
        <v>256</v>
      </c>
      <c r="C11" s="33" t="str">
        <f t="shared" si="0"/>
        <v>Ex-udbyttedato</v>
      </c>
      <c r="D11" s="211"/>
      <c r="E11" s="211">
        <v>43543</v>
      </c>
      <c r="F11" s="211">
        <v>43175</v>
      </c>
      <c r="G11" s="211">
        <v>42811</v>
      </c>
      <c r="H11" s="211">
        <v>42447</v>
      </c>
      <c r="I11" s="211">
        <v>42082</v>
      </c>
      <c r="J11" s="211">
        <v>41717</v>
      </c>
      <c r="K11" s="196"/>
      <c r="L11" s="196"/>
      <c r="M11" s="196"/>
      <c r="N11" s="211"/>
      <c r="O11" s="211"/>
      <c r="P11" s="211">
        <v>39512</v>
      </c>
      <c r="Q11" s="68">
        <v>39148</v>
      </c>
      <c r="R11" s="68">
        <v>38791</v>
      </c>
      <c r="S11" s="68">
        <v>38427</v>
      </c>
      <c r="T11" s="68">
        <v>38070</v>
      </c>
      <c r="U11" s="68">
        <v>37706</v>
      </c>
      <c r="V11" s="68">
        <v>37335</v>
      </c>
      <c r="W11" s="68">
        <v>36978</v>
      </c>
      <c r="X11" s="68">
        <v>36614</v>
      </c>
      <c r="Y11" s="68">
        <v>36243</v>
      </c>
      <c r="Z11" s="68">
        <v>35886</v>
      </c>
      <c r="AA11" s="68">
        <v>35508</v>
      </c>
      <c r="AB11" s="68">
        <v>35151</v>
      </c>
      <c r="AC11" s="68">
        <v>34787</v>
      </c>
      <c r="AD11" s="66"/>
      <c r="AE11" s="67"/>
      <c r="AF11" s="67"/>
      <c r="AG11" s="69"/>
      <c r="AH11" s="22"/>
      <c r="AI11" s="22"/>
      <c r="AJ11" s="22"/>
      <c r="AK11" s="22"/>
      <c r="AL11" s="22"/>
      <c r="AM11" s="22"/>
    </row>
    <row r="12" spans="1:39" ht="15" customHeight="1">
      <c r="A12" s="27" t="s">
        <v>94</v>
      </c>
      <c r="B12" s="27" t="s">
        <v>96</v>
      </c>
      <c r="C12" s="33" t="str">
        <f t="shared" si="0"/>
        <v>Valørdato</v>
      </c>
      <c r="D12" s="211"/>
      <c r="E12" s="211">
        <v>43544</v>
      </c>
      <c r="F12" s="211">
        <v>43178</v>
      </c>
      <c r="G12" s="211">
        <v>42814</v>
      </c>
      <c r="H12" s="211">
        <v>42450</v>
      </c>
      <c r="I12" s="211">
        <v>42083</v>
      </c>
      <c r="J12" s="211">
        <v>41719</v>
      </c>
      <c r="K12" s="196"/>
      <c r="L12" s="196"/>
      <c r="M12" s="196"/>
      <c r="N12" s="211"/>
      <c r="O12" s="211"/>
      <c r="P12" s="211">
        <v>39514</v>
      </c>
      <c r="Q12" s="68">
        <v>39150</v>
      </c>
      <c r="R12" s="68">
        <v>38793</v>
      </c>
      <c r="S12" s="68">
        <v>38429</v>
      </c>
      <c r="T12" s="68">
        <v>38072</v>
      </c>
      <c r="U12" s="68">
        <v>37708</v>
      </c>
      <c r="V12" s="68">
        <v>37337</v>
      </c>
      <c r="W12" s="68">
        <v>36980</v>
      </c>
      <c r="X12" s="68">
        <v>36616</v>
      </c>
      <c r="Y12" s="68">
        <v>36245</v>
      </c>
      <c r="Z12" s="68">
        <v>35888</v>
      </c>
      <c r="AA12" s="68">
        <v>35510</v>
      </c>
      <c r="AB12" s="68">
        <v>35153</v>
      </c>
      <c r="AC12" s="68">
        <v>34789</v>
      </c>
      <c r="AD12" s="66"/>
      <c r="AE12" s="67"/>
      <c r="AF12" s="67"/>
      <c r="AG12" s="60"/>
      <c r="AH12" s="22"/>
      <c r="AI12" s="22"/>
      <c r="AJ12" s="22"/>
      <c r="AK12" s="22"/>
      <c r="AL12" s="22"/>
      <c r="AM12" s="22"/>
    </row>
    <row r="13" spans="1:39" ht="15" customHeight="1">
      <c r="A13" s="27" t="s">
        <v>95</v>
      </c>
      <c r="B13" s="25" t="s">
        <v>100</v>
      </c>
      <c r="C13" s="33" t="str">
        <f t="shared" si="0"/>
        <v>Betalingsdato</v>
      </c>
      <c r="D13" s="211"/>
      <c r="E13" s="211">
        <v>43545</v>
      </c>
      <c r="F13" s="211">
        <v>43179</v>
      </c>
      <c r="G13" s="211">
        <v>42815</v>
      </c>
      <c r="H13" s="211">
        <v>42451</v>
      </c>
      <c r="I13" s="211">
        <v>42086</v>
      </c>
      <c r="J13" s="211">
        <v>41722</v>
      </c>
      <c r="K13" s="196"/>
      <c r="L13" s="196"/>
      <c r="M13" s="196"/>
      <c r="N13" s="211"/>
      <c r="O13" s="211"/>
      <c r="P13" s="211">
        <v>39517</v>
      </c>
      <c r="Q13" s="68">
        <v>39153</v>
      </c>
      <c r="R13" s="68">
        <v>38796</v>
      </c>
      <c r="S13" s="68">
        <v>38432</v>
      </c>
      <c r="T13" s="68">
        <v>38075</v>
      </c>
      <c r="U13" s="68">
        <v>37711</v>
      </c>
      <c r="V13" s="68">
        <v>37340</v>
      </c>
      <c r="W13" s="68">
        <v>36983</v>
      </c>
      <c r="X13" s="68">
        <v>36619</v>
      </c>
      <c r="Y13" s="68">
        <v>36248</v>
      </c>
      <c r="Z13" s="68">
        <v>35891</v>
      </c>
      <c r="AA13" s="68">
        <v>35513</v>
      </c>
      <c r="AB13" s="68">
        <v>35156</v>
      </c>
      <c r="AC13" s="68">
        <v>34792</v>
      </c>
      <c r="AD13" s="66"/>
      <c r="AE13" s="67"/>
      <c r="AF13" s="67"/>
      <c r="AG13" s="60"/>
      <c r="AH13" s="22"/>
      <c r="AI13" s="22"/>
      <c r="AJ13" s="22"/>
      <c r="AK13" s="22"/>
      <c r="AL13" s="22"/>
      <c r="AM13" s="22"/>
    </row>
    <row r="14" spans="1:39" ht="15" customHeight="1">
      <c r="A14" s="27"/>
      <c r="C14" s="33"/>
      <c r="D14" s="33"/>
      <c r="E14" s="33"/>
      <c r="F14" s="33"/>
      <c r="G14" s="33"/>
      <c r="H14" s="33"/>
      <c r="I14" s="33"/>
      <c r="J14" s="33"/>
      <c r="K14" s="33"/>
      <c r="L14" s="33"/>
      <c r="M14" s="33"/>
      <c r="N14" s="33"/>
      <c r="O14" s="33"/>
      <c r="P14" s="33"/>
      <c r="Q14" s="33"/>
      <c r="R14" s="33"/>
      <c r="S14" s="33"/>
      <c r="T14" s="33"/>
      <c r="U14" s="70"/>
      <c r="V14" s="70"/>
      <c r="W14" s="70"/>
      <c r="X14" s="70"/>
      <c r="Y14" s="70"/>
      <c r="Z14" s="70"/>
      <c r="AA14" s="71"/>
      <c r="AB14" s="61"/>
      <c r="AC14" s="61"/>
      <c r="AD14" s="66"/>
      <c r="AE14" s="67"/>
      <c r="AF14" s="67"/>
      <c r="AG14" s="60"/>
      <c r="AH14" s="22"/>
      <c r="AI14" s="22"/>
      <c r="AJ14" s="22"/>
      <c r="AK14" s="22"/>
      <c r="AL14" s="22"/>
      <c r="AM14" s="22"/>
    </row>
    <row r="15" spans="2:39" ht="15" customHeight="1">
      <c r="B15" s="27"/>
      <c r="C15" s="203"/>
      <c r="D15" s="203"/>
      <c r="E15" s="203"/>
      <c r="F15" s="203"/>
      <c r="G15" s="203"/>
      <c r="H15" s="203"/>
      <c r="I15" s="203"/>
      <c r="J15" s="203"/>
      <c r="K15" s="203"/>
      <c r="L15" s="203"/>
      <c r="M15" s="203"/>
      <c r="N15" s="203"/>
      <c r="O15" s="203"/>
      <c r="P15" s="203"/>
      <c r="Q15" s="33"/>
      <c r="R15" s="33"/>
      <c r="S15" s="33"/>
      <c r="T15" s="33"/>
      <c r="U15" s="70"/>
      <c r="V15" s="70"/>
      <c r="W15" s="70"/>
      <c r="X15" s="70"/>
      <c r="Y15" s="71"/>
      <c r="Z15" s="71"/>
      <c r="AA15" s="71"/>
      <c r="AB15" s="72"/>
      <c r="AC15" s="72"/>
      <c r="AD15" s="66"/>
      <c r="AE15" s="67"/>
      <c r="AF15" s="67"/>
      <c r="AG15" s="66"/>
      <c r="AH15" s="22"/>
      <c r="AI15" s="22"/>
      <c r="AJ15" s="22"/>
      <c r="AK15" s="22"/>
      <c r="AL15" s="22"/>
      <c r="AM15" s="22"/>
    </row>
    <row r="16" spans="2:39" ht="15" customHeight="1">
      <c r="B16" s="27"/>
      <c r="C16" s="33"/>
      <c r="D16" s="33"/>
      <c r="E16" s="33"/>
      <c r="F16" s="33"/>
      <c r="G16" s="33"/>
      <c r="H16" s="33"/>
      <c r="I16" s="33"/>
      <c r="J16" s="33"/>
      <c r="K16" s="33"/>
      <c r="L16" s="33"/>
      <c r="M16" s="33"/>
      <c r="N16" s="33"/>
      <c r="O16" s="33"/>
      <c r="P16" s="33"/>
      <c r="Q16" s="33"/>
      <c r="R16" s="33"/>
      <c r="S16" s="33"/>
      <c r="T16" s="33"/>
      <c r="U16" s="70"/>
      <c r="V16" s="70"/>
      <c r="W16" s="70"/>
      <c r="X16" s="70"/>
      <c r="Y16" s="70"/>
      <c r="Z16" s="70"/>
      <c r="AA16" s="70"/>
      <c r="AB16" s="61"/>
      <c r="AC16" s="61"/>
      <c r="AD16" s="66"/>
      <c r="AE16" s="67"/>
      <c r="AF16" s="67"/>
      <c r="AG16" s="60"/>
      <c r="AH16" s="22"/>
      <c r="AI16" s="22"/>
      <c r="AJ16" s="22"/>
      <c r="AK16" s="22"/>
      <c r="AL16" s="22"/>
      <c r="AM16" s="22"/>
    </row>
    <row r="17" spans="2:39" ht="15" customHeight="1">
      <c r="B17" s="27"/>
      <c r="C17" s="33"/>
      <c r="D17" s="33"/>
      <c r="E17" s="33"/>
      <c r="F17" s="33"/>
      <c r="G17" s="33"/>
      <c r="H17" s="33"/>
      <c r="I17" s="33"/>
      <c r="J17" s="33"/>
      <c r="K17" s="33"/>
      <c r="L17" s="33"/>
      <c r="M17" s="33"/>
      <c r="N17" s="33"/>
      <c r="O17" s="33"/>
      <c r="P17" s="33"/>
      <c r="Q17" s="33"/>
      <c r="R17" s="33"/>
      <c r="S17" s="33"/>
      <c r="T17" s="33"/>
      <c r="U17" s="70"/>
      <c r="V17" s="70"/>
      <c r="W17" s="70"/>
      <c r="X17" s="70"/>
      <c r="Y17" s="70"/>
      <c r="Z17" s="70"/>
      <c r="AA17" s="70"/>
      <c r="AB17" s="66"/>
      <c r="AC17" s="66"/>
      <c r="AD17" s="66"/>
      <c r="AE17" s="66"/>
      <c r="AF17" s="66"/>
      <c r="AG17" s="60"/>
      <c r="AH17" s="22"/>
      <c r="AI17" s="22"/>
      <c r="AJ17" s="22"/>
      <c r="AK17" s="22"/>
      <c r="AL17" s="22"/>
      <c r="AM17" s="22"/>
    </row>
    <row r="18" spans="3:39" ht="15" customHeight="1">
      <c r="C18" s="33"/>
      <c r="D18" s="33"/>
      <c r="E18" s="33"/>
      <c r="F18" s="33"/>
      <c r="G18" s="33"/>
      <c r="H18" s="33"/>
      <c r="I18" s="33"/>
      <c r="J18" s="33"/>
      <c r="K18" s="33"/>
      <c r="L18" s="33"/>
      <c r="M18" s="33"/>
      <c r="N18" s="33"/>
      <c r="O18" s="33"/>
      <c r="P18" s="33"/>
      <c r="Q18" s="33"/>
      <c r="R18" s="33"/>
      <c r="S18" s="33"/>
      <c r="T18" s="33"/>
      <c r="U18" s="70"/>
      <c r="V18" s="70"/>
      <c r="W18" s="70"/>
      <c r="X18" s="70"/>
      <c r="Y18" s="70"/>
      <c r="Z18" s="70"/>
      <c r="AA18" s="70"/>
      <c r="AB18" s="66"/>
      <c r="AC18" s="66"/>
      <c r="AD18" s="66"/>
      <c r="AE18" s="66"/>
      <c r="AF18" s="66"/>
      <c r="AG18" s="60"/>
      <c r="AH18" s="22"/>
      <c r="AI18" s="22"/>
      <c r="AJ18" s="22"/>
      <c r="AK18" s="22"/>
      <c r="AL18" s="22"/>
      <c r="AM18" s="22"/>
    </row>
    <row r="19" spans="2:39" ht="15" customHeight="1">
      <c r="B19" s="27"/>
      <c r="C19" s="33"/>
      <c r="D19" s="33"/>
      <c r="E19" s="33"/>
      <c r="F19" s="33"/>
      <c r="G19" s="33"/>
      <c r="H19" s="33"/>
      <c r="I19" s="33"/>
      <c r="J19" s="33"/>
      <c r="K19" s="33"/>
      <c r="L19" s="33"/>
      <c r="M19" s="33"/>
      <c r="N19" s="33"/>
      <c r="O19" s="33"/>
      <c r="P19" s="33"/>
      <c r="Q19" s="33"/>
      <c r="R19" s="33"/>
      <c r="S19" s="33"/>
      <c r="T19" s="33"/>
      <c r="U19" s="70"/>
      <c r="V19" s="70"/>
      <c r="W19" s="70"/>
      <c r="X19" s="70"/>
      <c r="Y19" s="70"/>
      <c r="Z19" s="70"/>
      <c r="AA19" s="70"/>
      <c r="AB19" s="66"/>
      <c r="AC19" s="66"/>
      <c r="AD19" s="66"/>
      <c r="AE19" s="66"/>
      <c r="AF19" s="66"/>
      <c r="AG19" s="60"/>
      <c r="AH19" s="22"/>
      <c r="AI19" s="22"/>
      <c r="AJ19" s="22"/>
      <c r="AK19" s="22"/>
      <c r="AL19" s="22"/>
      <c r="AM19" s="22"/>
    </row>
    <row r="20" spans="2:39" ht="15" customHeight="1">
      <c r="B20" s="27"/>
      <c r="C20" s="33"/>
      <c r="D20" s="33"/>
      <c r="E20" s="33"/>
      <c r="F20" s="33"/>
      <c r="G20" s="33"/>
      <c r="H20" s="33"/>
      <c r="I20" s="33"/>
      <c r="J20" s="33"/>
      <c r="K20" s="33"/>
      <c r="L20" s="33"/>
      <c r="M20" s="33"/>
      <c r="N20" s="33"/>
      <c r="O20" s="33"/>
      <c r="P20" s="33"/>
      <c r="Q20" s="33"/>
      <c r="R20" s="33"/>
      <c r="S20" s="33"/>
      <c r="T20" s="33"/>
      <c r="X20" s="22"/>
      <c r="Y20" s="22"/>
      <c r="Z20" s="73"/>
      <c r="AA20" s="73"/>
      <c r="AB20" s="73"/>
      <c r="AC20" s="73"/>
      <c r="AD20" s="74"/>
      <c r="AE20" s="74"/>
      <c r="AF20" s="74"/>
      <c r="AG20" s="60"/>
      <c r="AH20" s="22"/>
      <c r="AI20" s="22"/>
      <c r="AJ20" s="22"/>
      <c r="AK20" s="22"/>
      <c r="AL20" s="22"/>
      <c r="AM20" s="22"/>
    </row>
    <row r="21" spans="2:23" ht="15" customHeight="1">
      <c r="B21" s="27"/>
      <c r="C21" s="33"/>
      <c r="D21" s="33"/>
      <c r="E21" s="33"/>
      <c r="F21" s="33"/>
      <c r="G21" s="33"/>
      <c r="H21" s="33"/>
      <c r="I21" s="33"/>
      <c r="J21" s="33"/>
      <c r="K21" s="33"/>
      <c r="L21" s="33"/>
      <c r="M21" s="33"/>
      <c r="N21" s="33"/>
      <c r="O21" s="33"/>
      <c r="P21" s="33"/>
      <c r="Q21" s="33"/>
      <c r="R21" s="33"/>
      <c r="S21" s="33"/>
      <c r="T21" s="33"/>
      <c r="U21" s="22"/>
      <c r="V21" s="22"/>
      <c r="W21" s="22"/>
    </row>
    <row r="22" spans="2:24" ht="15" customHeight="1">
      <c r="B22" s="27"/>
      <c r="C22" s="33"/>
      <c r="D22" s="33"/>
      <c r="E22" s="33"/>
      <c r="F22" s="33"/>
      <c r="G22" s="33"/>
      <c r="H22" s="33"/>
      <c r="I22" s="33"/>
      <c r="J22" s="33"/>
      <c r="K22" s="33"/>
      <c r="L22" s="33"/>
      <c r="M22" s="33"/>
      <c r="N22" s="33"/>
      <c r="O22" s="33"/>
      <c r="P22" s="33"/>
      <c r="Q22" s="33"/>
      <c r="R22" s="33"/>
      <c r="S22" s="33"/>
      <c r="T22" s="33"/>
      <c r="U22" s="75"/>
      <c r="V22" s="75"/>
      <c r="W22" s="75"/>
      <c r="X22" s="75"/>
    </row>
    <row r="23" spans="2:24" ht="15" customHeight="1">
      <c r="B23" s="27"/>
      <c r="C23" s="33"/>
      <c r="D23" s="33"/>
      <c r="E23" s="33"/>
      <c r="F23" s="33"/>
      <c r="G23" s="33"/>
      <c r="H23" s="33"/>
      <c r="I23" s="33"/>
      <c r="J23" s="33"/>
      <c r="K23" s="33"/>
      <c r="L23" s="33"/>
      <c r="M23" s="33"/>
      <c r="N23" s="33"/>
      <c r="O23" s="33"/>
      <c r="P23" s="33"/>
      <c r="Q23" s="33"/>
      <c r="R23" s="33"/>
      <c r="S23" s="33"/>
      <c r="T23" s="33"/>
      <c r="U23" s="75"/>
      <c r="V23" s="75"/>
      <c r="W23" s="75"/>
      <c r="X23" s="75"/>
    </row>
    <row r="24" spans="2:24" ht="15" customHeight="1">
      <c r="B24" s="27"/>
      <c r="C24" s="33"/>
      <c r="D24" s="33"/>
      <c r="E24" s="33"/>
      <c r="F24" s="33"/>
      <c r="G24" s="33"/>
      <c r="H24" s="33"/>
      <c r="I24" s="33"/>
      <c r="J24" s="33"/>
      <c r="K24" s="33"/>
      <c r="L24" s="33"/>
      <c r="M24" s="33"/>
      <c r="N24" s="33"/>
      <c r="O24" s="33"/>
      <c r="P24" s="33"/>
      <c r="Q24" s="33"/>
      <c r="R24" s="33"/>
      <c r="S24" s="33"/>
      <c r="T24" s="33"/>
      <c r="U24" s="75"/>
      <c r="V24" s="75"/>
      <c r="W24" s="75"/>
      <c r="X24" s="75"/>
    </row>
    <row r="25" spans="2:35" ht="15" customHeight="1">
      <c r="B25" s="27"/>
      <c r="C25" s="33"/>
      <c r="D25" s="33"/>
      <c r="E25" s="33"/>
      <c r="F25" s="33"/>
      <c r="G25" s="33"/>
      <c r="H25" s="33"/>
      <c r="I25" s="33"/>
      <c r="J25" s="33"/>
      <c r="K25" s="33"/>
      <c r="L25" s="33"/>
      <c r="M25" s="33"/>
      <c r="N25" s="33"/>
      <c r="O25" s="33"/>
      <c r="P25" s="33"/>
      <c r="Q25" s="33"/>
      <c r="R25" s="33"/>
      <c r="S25" s="33"/>
      <c r="T25" s="33"/>
      <c r="U25" s="70"/>
      <c r="V25" s="70"/>
      <c r="W25" s="70"/>
      <c r="X25" s="22"/>
      <c r="Y25" s="22"/>
      <c r="Z25" s="22"/>
      <c r="AA25" s="22"/>
      <c r="AB25" s="22"/>
      <c r="AC25" s="22"/>
      <c r="AD25" s="60"/>
      <c r="AE25" s="60"/>
      <c r="AF25" s="76"/>
      <c r="AG25" s="77"/>
      <c r="AH25" s="22"/>
      <c r="AI25" s="22"/>
    </row>
    <row r="26" spans="2:35" ht="15" customHeight="1">
      <c r="B26" s="27"/>
      <c r="C26" s="33"/>
      <c r="D26" s="33"/>
      <c r="E26" s="33"/>
      <c r="F26" s="33"/>
      <c r="G26" s="33"/>
      <c r="H26" s="33"/>
      <c r="I26" s="33"/>
      <c r="J26" s="33"/>
      <c r="K26" s="33"/>
      <c r="L26" s="33"/>
      <c r="M26" s="33"/>
      <c r="N26" s="33"/>
      <c r="O26" s="33"/>
      <c r="P26" s="33"/>
      <c r="Q26" s="33"/>
      <c r="R26" s="33"/>
      <c r="S26" s="33"/>
      <c r="T26" s="33"/>
      <c r="U26" s="70"/>
      <c r="V26" s="70"/>
      <c r="W26" s="70"/>
      <c r="X26" s="22"/>
      <c r="Y26" s="22"/>
      <c r="Z26" s="78"/>
      <c r="AA26" s="58"/>
      <c r="AB26" s="79"/>
      <c r="AC26" s="79"/>
      <c r="AD26" s="58"/>
      <c r="AE26" s="59"/>
      <c r="AF26" s="59"/>
      <c r="AG26" s="60"/>
      <c r="AH26" s="22"/>
      <c r="AI26" s="22"/>
    </row>
    <row r="27" spans="2:35" ht="15" customHeight="1">
      <c r="B27" s="27"/>
      <c r="C27" s="80"/>
      <c r="D27" s="80"/>
      <c r="E27" s="80"/>
      <c r="F27" s="80"/>
      <c r="G27" s="80"/>
      <c r="H27" s="80"/>
      <c r="I27" s="80"/>
      <c r="J27" s="80"/>
      <c r="K27" s="80"/>
      <c r="L27" s="80"/>
      <c r="M27" s="80"/>
      <c r="N27" s="80"/>
      <c r="O27" s="80"/>
      <c r="P27" s="80"/>
      <c r="Q27" s="80"/>
      <c r="R27" s="80"/>
      <c r="S27" s="80"/>
      <c r="T27" s="80"/>
      <c r="U27" s="42"/>
      <c r="V27" s="42"/>
      <c r="W27" s="42"/>
      <c r="X27" s="22"/>
      <c r="Y27" s="22"/>
      <c r="Z27" s="81"/>
      <c r="AA27" s="61"/>
      <c r="AB27" s="61"/>
      <c r="AC27" s="61"/>
      <c r="AD27" s="66"/>
      <c r="AE27" s="66"/>
      <c r="AF27" s="66"/>
      <c r="AG27" s="60"/>
      <c r="AH27" s="22"/>
      <c r="AI27" s="22"/>
    </row>
    <row r="28" spans="2:35" ht="15" customHeight="1">
      <c r="B28" s="27"/>
      <c r="C28" s="33"/>
      <c r="D28" s="33"/>
      <c r="E28" s="33"/>
      <c r="F28" s="33"/>
      <c r="G28" s="33"/>
      <c r="H28" s="33"/>
      <c r="I28" s="33"/>
      <c r="J28" s="33"/>
      <c r="K28" s="33"/>
      <c r="L28" s="33"/>
      <c r="M28" s="33"/>
      <c r="N28" s="33"/>
      <c r="O28" s="33"/>
      <c r="P28" s="33"/>
      <c r="Q28" s="33"/>
      <c r="R28" s="33"/>
      <c r="S28" s="33"/>
      <c r="T28" s="33"/>
      <c r="U28" s="70"/>
      <c r="V28" s="70"/>
      <c r="W28" s="70"/>
      <c r="X28" s="22"/>
      <c r="Y28" s="22"/>
      <c r="Z28" s="81"/>
      <c r="AA28" s="61"/>
      <c r="AB28" s="61"/>
      <c r="AC28" s="61"/>
      <c r="AD28" s="66"/>
      <c r="AE28" s="66"/>
      <c r="AF28" s="66"/>
      <c r="AG28" s="60"/>
      <c r="AH28" s="22"/>
      <c r="AI28" s="22"/>
    </row>
    <row r="29" spans="2:35" ht="15" customHeight="1">
      <c r="B29" s="27"/>
      <c r="C29" s="33"/>
      <c r="D29" s="33"/>
      <c r="E29" s="33"/>
      <c r="F29" s="33"/>
      <c r="G29" s="33"/>
      <c r="H29" s="33"/>
      <c r="I29" s="33"/>
      <c r="J29" s="33"/>
      <c r="K29" s="33"/>
      <c r="L29" s="33"/>
      <c r="M29" s="33"/>
      <c r="N29" s="33"/>
      <c r="O29" s="33"/>
      <c r="P29" s="33"/>
      <c r="Q29" s="33"/>
      <c r="R29" s="33"/>
      <c r="S29" s="33"/>
      <c r="T29" s="33"/>
      <c r="U29" s="70"/>
      <c r="V29" s="70"/>
      <c r="W29" s="70"/>
      <c r="X29" s="22"/>
      <c r="Y29" s="22"/>
      <c r="Z29" s="61"/>
      <c r="AA29" s="61"/>
      <c r="AB29" s="61"/>
      <c r="AC29" s="61"/>
      <c r="AD29" s="66"/>
      <c r="AE29" s="67"/>
      <c r="AF29" s="67"/>
      <c r="AG29" s="82"/>
      <c r="AH29" s="22"/>
      <c r="AI29" s="22"/>
    </row>
    <row r="30" spans="2:35" ht="15" customHeight="1">
      <c r="B30" s="27"/>
      <c r="C30" s="33"/>
      <c r="D30" s="33"/>
      <c r="E30" s="33"/>
      <c r="F30" s="33"/>
      <c r="G30" s="33"/>
      <c r="H30" s="33"/>
      <c r="I30" s="33"/>
      <c r="J30" s="33"/>
      <c r="K30" s="33"/>
      <c r="L30" s="33"/>
      <c r="M30" s="33"/>
      <c r="N30" s="33"/>
      <c r="O30" s="33"/>
      <c r="P30" s="33"/>
      <c r="Q30" s="33"/>
      <c r="R30" s="33"/>
      <c r="S30" s="33"/>
      <c r="T30" s="33"/>
      <c r="U30" s="70"/>
      <c r="V30" s="70"/>
      <c r="W30" s="70"/>
      <c r="X30" s="22"/>
      <c r="Y30" s="22"/>
      <c r="Z30" s="61"/>
      <c r="AA30" s="61"/>
      <c r="AB30" s="61"/>
      <c r="AC30" s="61"/>
      <c r="AD30" s="66"/>
      <c r="AE30" s="67"/>
      <c r="AF30" s="67"/>
      <c r="AG30" s="60"/>
      <c r="AH30" s="22"/>
      <c r="AI30" s="22"/>
    </row>
    <row r="31" spans="2:35" ht="15" customHeight="1">
      <c r="B31" s="27"/>
      <c r="C31" s="33"/>
      <c r="D31" s="33"/>
      <c r="E31" s="33"/>
      <c r="F31" s="33"/>
      <c r="G31" s="33"/>
      <c r="H31" s="33"/>
      <c r="I31" s="33"/>
      <c r="J31" s="33"/>
      <c r="K31" s="33"/>
      <c r="L31" s="33"/>
      <c r="M31" s="33"/>
      <c r="N31" s="33"/>
      <c r="O31" s="33"/>
      <c r="P31" s="33"/>
      <c r="Q31" s="33"/>
      <c r="R31" s="33"/>
      <c r="S31" s="33"/>
      <c r="T31" s="33"/>
      <c r="U31" s="70"/>
      <c r="V31" s="70"/>
      <c r="W31" s="70"/>
      <c r="X31" s="22"/>
      <c r="Y31" s="22"/>
      <c r="Z31" s="61"/>
      <c r="AA31" s="61"/>
      <c r="AB31" s="61"/>
      <c r="AC31" s="61"/>
      <c r="AD31" s="66"/>
      <c r="AE31" s="67"/>
      <c r="AF31" s="67"/>
      <c r="AG31" s="60"/>
      <c r="AH31" s="22"/>
      <c r="AI31" s="22"/>
    </row>
    <row r="32" spans="2:35" ht="15" customHeight="1">
      <c r="B32" s="27"/>
      <c r="C32" s="33"/>
      <c r="D32" s="33"/>
      <c r="E32" s="33"/>
      <c r="F32" s="33"/>
      <c r="G32" s="33"/>
      <c r="H32" s="33"/>
      <c r="I32" s="33"/>
      <c r="J32" s="33"/>
      <c r="K32" s="33"/>
      <c r="L32" s="33"/>
      <c r="M32" s="33"/>
      <c r="N32" s="33"/>
      <c r="O32" s="33"/>
      <c r="P32" s="33"/>
      <c r="Q32" s="33"/>
      <c r="R32" s="33"/>
      <c r="S32" s="33"/>
      <c r="T32" s="33"/>
      <c r="U32" s="70"/>
      <c r="V32" s="70"/>
      <c r="W32" s="83"/>
      <c r="X32" s="22"/>
      <c r="Y32" s="22"/>
      <c r="Z32" s="61"/>
      <c r="AA32" s="61"/>
      <c r="AB32" s="61"/>
      <c r="AC32" s="61"/>
      <c r="AD32" s="66"/>
      <c r="AE32" s="67"/>
      <c r="AF32" s="67"/>
      <c r="AG32" s="69"/>
      <c r="AH32" s="22"/>
      <c r="AI32" s="22"/>
    </row>
    <row r="33" spans="2:35" ht="15" customHeight="1">
      <c r="B33" s="27"/>
      <c r="C33" s="80"/>
      <c r="D33" s="80"/>
      <c r="E33" s="80"/>
      <c r="F33" s="80"/>
      <c r="G33" s="80"/>
      <c r="H33" s="80"/>
      <c r="I33" s="80"/>
      <c r="J33" s="80"/>
      <c r="K33" s="80"/>
      <c r="L33" s="80"/>
      <c r="M33" s="80"/>
      <c r="N33" s="80"/>
      <c r="O33" s="80"/>
      <c r="P33" s="80"/>
      <c r="Q33" s="80"/>
      <c r="R33" s="80"/>
      <c r="S33" s="80"/>
      <c r="T33" s="80"/>
      <c r="U33" s="42"/>
      <c r="V33" s="42"/>
      <c r="W33" s="42"/>
      <c r="X33" s="22"/>
      <c r="Y33" s="22"/>
      <c r="Z33" s="61"/>
      <c r="AA33" s="61"/>
      <c r="AB33" s="61"/>
      <c r="AC33" s="61"/>
      <c r="AD33" s="66"/>
      <c r="AE33" s="67"/>
      <c r="AF33" s="67"/>
      <c r="AG33" s="60"/>
      <c r="AH33" s="22"/>
      <c r="AI33" s="22"/>
    </row>
    <row r="34" spans="2:35" ht="15" customHeight="1">
      <c r="B34" s="27"/>
      <c r="C34" s="43"/>
      <c r="D34" s="43"/>
      <c r="E34" s="43"/>
      <c r="F34" s="43"/>
      <c r="G34" s="43"/>
      <c r="H34" s="43"/>
      <c r="I34" s="43"/>
      <c r="J34" s="43"/>
      <c r="K34" s="43"/>
      <c r="L34" s="43"/>
      <c r="M34" s="43"/>
      <c r="N34" s="43"/>
      <c r="O34" s="43"/>
      <c r="P34" s="43"/>
      <c r="Q34" s="43"/>
      <c r="R34" s="43"/>
      <c r="S34" s="43"/>
      <c r="T34" s="43"/>
      <c r="U34" s="44"/>
      <c r="V34" s="44"/>
      <c r="W34" s="44"/>
      <c r="X34" s="22"/>
      <c r="Y34" s="22"/>
      <c r="Z34" s="61"/>
      <c r="AA34" s="61"/>
      <c r="AB34" s="61"/>
      <c r="AC34" s="61"/>
      <c r="AD34" s="66"/>
      <c r="AE34" s="67"/>
      <c r="AF34" s="67"/>
      <c r="AG34" s="66"/>
      <c r="AH34" s="22"/>
      <c r="AI34" s="22"/>
    </row>
    <row r="35" spans="2:35" ht="15" customHeight="1">
      <c r="B35" s="27"/>
      <c r="C35" s="43"/>
      <c r="D35" s="43"/>
      <c r="E35" s="43"/>
      <c r="F35" s="43"/>
      <c r="G35" s="43"/>
      <c r="H35" s="43"/>
      <c r="I35" s="43"/>
      <c r="J35" s="43"/>
      <c r="K35" s="43"/>
      <c r="L35" s="43"/>
      <c r="M35" s="43"/>
      <c r="N35" s="43"/>
      <c r="O35" s="43"/>
      <c r="P35" s="43"/>
      <c r="Q35" s="43"/>
      <c r="R35" s="43"/>
      <c r="S35" s="43"/>
      <c r="T35" s="43"/>
      <c r="U35" s="44"/>
      <c r="V35" s="44"/>
      <c r="W35" s="44"/>
      <c r="X35" s="22"/>
      <c r="Y35" s="22"/>
      <c r="Z35" s="84"/>
      <c r="AA35" s="61"/>
      <c r="AB35" s="61"/>
      <c r="AC35" s="61"/>
      <c r="AD35" s="66"/>
      <c r="AE35" s="67"/>
      <c r="AF35" s="67"/>
      <c r="AG35" s="60"/>
      <c r="AH35" s="22"/>
      <c r="AI35" s="22"/>
    </row>
    <row r="36" spans="2:35" ht="15" customHeight="1">
      <c r="B36" s="27"/>
      <c r="C36" s="33"/>
      <c r="D36" s="33"/>
      <c r="E36" s="33"/>
      <c r="F36" s="33"/>
      <c r="G36" s="33"/>
      <c r="H36" s="33"/>
      <c r="I36" s="33"/>
      <c r="J36" s="33"/>
      <c r="K36" s="33"/>
      <c r="L36" s="33"/>
      <c r="M36" s="33"/>
      <c r="N36" s="33"/>
      <c r="O36" s="33"/>
      <c r="P36" s="33"/>
      <c r="Q36" s="33"/>
      <c r="R36" s="33"/>
      <c r="S36" s="33"/>
      <c r="T36" s="33"/>
      <c r="U36" s="85"/>
      <c r="V36" s="85"/>
      <c r="W36" s="85"/>
      <c r="X36" s="22"/>
      <c r="Y36" s="22"/>
      <c r="Z36" s="81"/>
      <c r="AA36" s="61"/>
      <c r="AB36" s="61"/>
      <c r="AC36" s="61"/>
      <c r="AD36" s="66"/>
      <c r="AE36" s="67"/>
      <c r="AF36" s="67"/>
      <c r="AG36" s="60"/>
      <c r="AH36" s="22"/>
      <c r="AI36" s="22"/>
    </row>
    <row r="37" spans="2:35" ht="15" customHeight="1">
      <c r="B37" s="27"/>
      <c r="C37" s="33"/>
      <c r="D37" s="33"/>
      <c r="E37" s="33"/>
      <c r="F37" s="33"/>
      <c r="G37" s="33"/>
      <c r="H37" s="33"/>
      <c r="I37" s="33"/>
      <c r="J37" s="33"/>
      <c r="K37" s="33"/>
      <c r="L37" s="33"/>
      <c r="M37" s="33"/>
      <c r="N37" s="33"/>
      <c r="O37" s="33"/>
      <c r="P37" s="33"/>
      <c r="Q37" s="33"/>
      <c r="R37" s="33"/>
      <c r="S37" s="33"/>
      <c r="T37" s="33"/>
      <c r="U37" s="86"/>
      <c r="V37" s="86"/>
      <c r="W37" s="86"/>
      <c r="X37" s="22"/>
      <c r="Y37" s="22"/>
      <c r="Z37" s="61"/>
      <c r="AA37" s="61"/>
      <c r="AB37" s="61"/>
      <c r="AC37" s="66"/>
      <c r="AD37" s="87"/>
      <c r="AE37" s="66"/>
      <c r="AF37" s="66"/>
      <c r="AG37" s="60"/>
      <c r="AH37" s="22"/>
      <c r="AI37" s="22"/>
    </row>
    <row r="38" spans="2:35" ht="15" customHeight="1">
      <c r="B38" s="27"/>
      <c r="C38" s="33"/>
      <c r="D38" s="33"/>
      <c r="E38" s="33"/>
      <c r="F38" s="33"/>
      <c r="G38" s="33"/>
      <c r="H38" s="33"/>
      <c r="I38" s="33"/>
      <c r="J38" s="33"/>
      <c r="K38" s="33"/>
      <c r="L38" s="33"/>
      <c r="M38" s="33"/>
      <c r="N38" s="33"/>
      <c r="O38" s="33"/>
      <c r="P38" s="33"/>
      <c r="Q38" s="33"/>
      <c r="R38" s="33"/>
      <c r="S38" s="33"/>
      <c r="T38" s="33"/>
      <c r="U38" s="86"/>
      <c r="V38" s="86"/>
      <c r="W38" s="86"/>
      <c r="X38" s="22"/>
      <c r="Y38" s="22"/>
      <c r="Z38" s="73"/>
      <c r="AA38" s="73"/>
      <c r="AB38" s="73"/>
      <c r="AC38" s="73"/>
      <c r="AD38" s="74"/>
      <c r="AE38" s="74"/>
      <c r="AF38" s="74"/>
      <c r="AG38" s="60"/>
      <c r="AH38" s="22"/>
      <c r="AI38" s="22"/>
    </row>
    <row r="39" spans="2:35" ht="15" customHeight="1">
      <c r="B39" s="27"/>
      <c r="C39" s="22"/>
      <c r="D39" s="22"/>
      <c r="E39" s="22"/>
      <c r="F39" s="22"/>
      <c r="G39" s="22"/>
      <c r="H39" s="22"/>
      <c r="I39" s="22"/>
      <c r="J39" s="22"/>
      <c r="K39" s="22"/>
      <c r="L39" s="22"/>
      <c r="M39" s="22"/>
      <c r="N39" s="22"/>
      <c r="O39" s="22"/>
      <c r="P39" s="22"/>
      <c r="Q39" s="22"/>
      <c r="R39" s="22"/>
      <c r="S39" s="22"/>
      <c r="T39" s="22"/>
      <c r="U39" s="86"/>
      <c r="V39" s="86"/>
      <c r="W39" s="86"/>
      <c r="X39" s="22"/>
      <c r="Y39" s="22"/>
      <c r="Z39" s="22"/>
      <c r="AA39" s="22"/>
      <c r="AB39" s="22"/>
      <c r="AC39" s="22"/>
      <c r="AD39" s="22"/>
      <c r="AE39" s="22"/>
      <c r="AF39" s="22"/>
      <c r="AG39" s="22"/>
      <c r="AH39" s="22"/>
      <c r="AI39" s="22"/>
    </row>
    <row r="40" spans="2:35" ht="15" customHeight="1">
      <c r="B40" s="27"/>
      <c r="C40" s="22"/>
      <c r="D40" s="22"/>
      <c r="E40" s="22"/>
      <c r="F40" s="22"/>
      <c r="G40" s="22"/>
      <c r="H40" s="22"/>
      <c r="I40" s="22"/>
      <c r="J40" s="22"/>
      <c r="K40" s="22"/>
      <c r="L40" s="22"/>
      <c r="M40" s="22"/>
      <c r="N40" s="22"/>
      <c r="O40" s="22"/>
      <c r="P40" s="22"/>
      <c r="Q40" s="22"/>
      <c r="R40" s="22"/>
      <c r="S40" s="22"/>
      <c r="T40" s="22"/>
      <c r="U40" s="86"/>
      <c r="V40" s="86"/>
      <c r="W40" s="86"/>
      <c r="X40" s="22"/>
      <c r="Y40" s="22"/>
      <c r="Z40" s="22"/>
      <c r="AA40" s="22"/>
      <c r="AB40" s="22"/>
      <c r="AC40" s="22"/>
      <c r="AD40" s="22"/>
      <c r="AE40" s="22"/>
      <c r="AF40" s="22"/>
      <c r="AG40" s="22"/>
      <c r="AH40" s="22"/>
      <c r="AI40" s="22"/>
    </row>
    <row r="41" spans="2:35"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2:35"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2:35"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2:35" ht="15" customHeight="1">
      <c r="B44" s="27"/>
      <c r="C44" s="43"/>
      <c r="D44" s="43"/>
      <c r="E44" s="43"/>
      <c r="F44" s="43"/>
      <c r="G44" s="43"/>
      <c r="H44" s="43"/>
      <c r="I44" s="43"/>
      <c r="J44" s="43"/>
      <c r="K44" s="43"/>
      <c r="L44" s="43"/>
      <c r="M44" s="43"/>
      <c r="N44" s="43"/>
      <c r="O44" s="43"/>
      <c r="P44" s="43"/>
      <c r="Q44" s="43"/>
      <c r="R44" s="43"/>
      <c r="S44" s="43"/>
      <c r="T44" s="43"/>
      <c r="U44" s="44"/>
      <c r="V44" s="44"/>
      <c r="W44" s="44"/>
      <c r="X44" s="22"/>
      <c r="Y44" s="22"/>
      <c r="Z44" s="22"/>
      <c r="AA44" s="22"/>
      <c r="AB44" s="22"/>
      <c r="AC44" s="22"/>
      <c r="AD44" s="22"/>
      <c r="AE44" s="22"/>
      <c r="AF44" s="22"/>
      <c r="AG44" s="22"/>
      <c r="AH44" s="22"/>
      <c r="AI44" s="22"/>
    </row>
    <row r="45" spans="2:35" ht="15" customHeight="1">
      <c r="B45" s="27"/>
      <c r="C45" s="43"/>
      <c r="D45" s="43"/>
      <c r="E45" s="43"/>
      <c r="F45" s="43"/>
      <c r="G45" s="43"/>
      <c r="H45" s="43"/>
      <c r="I45" s="43"/>
      <c r="J45" s="43"/>
      <c r="K45" s="43"/>
      <c r="L45" s="43"/>
      <c r="M45" s="43"/>
      <c r="N45" s="43"/>
      <c r="O45" s="43"/>
      <c r="P45" s="43"/>
      <c r="Q45" s="43"/>
      <c r="R45" s="43"/>
      <c r="S45" s="43"/>
      <c r="T45" s="43"/>
      <c r="U45" s="44"/>
      <c r="V45" s="44"/>
      <c r="W45" s="44"/>
      <c r="X45" s="22"/>
      <c r="Y45" s="22"/>
      <c r="Z45" s="88"/>
      <c r="AA45" s="89"/>
      <c r="AB45" s="276"/>
      <c r="AC45" s="276"/>
      <c r="AD45" s="275"/>
      <c r="AE45" s="275"/>
      <c r="AF45" s="42"/>
      <c r="AG45" s="42"/>
      <c r="AH45" s="22"/>
      <c r="AI45" s="22"/>
    </row>
    <row r="46" spans="2:35" ht="15" customHeight="1">
      <c r="B46" s="27"/>
      <c r="C46" s="33"/>
      <c r="D46" s="33"/>
      <c r="E46" s="33"/>
      <c r="F46" s="33"/>
      <c r="G46" s="33"/>
      <c r="H46" s="33"/>
      <c r="I46" s="33"/>
      <c r="J46" s="33"/>
      <c r="K46" s="33"/>
      <c r="L46" s="33"/>
      <c r="M46" s="33"/>
      <c r="N46" s="33"/>
      <c r="O46" s="33"/>
      <c r="P46" s="33"/>
      <c r="Q46" s="33"/>
      <c r="R46" s="33"/>
      <c r="S46" s="33"/>
      <c r="T46" s="33"/>
      <c r="U46" s="70"/>
      <c r="V46" s="70"/>
      <c r="W46" s="70"/>
      <c r="X46" s="22"/>
      <c r="Y46" s="22"/>
      <c r="Z46" s="22"/>
      <c r="AA46" s="22"/>
      <c r="AB46" s="22"/>
      <c r="AC46" s="22"/>
      <c r="AD46" s="60"/>
      <c r="AE46" s="60"/>
      <c r="AF46" s="76"/>
      <c r="AG46" s="90"/>
      <c r="AH46" s="22"/>
      <c r="AI46" s="22"/>
    </row>
    <row r="47" spans="2:35" ht="15" customHeight="1">
      <c r="B47" s="27"/>
      <c r="C47" s="33"/>
      <c r="D47" s="33"/>
      <c r="E47" s="33"/>
      <c r="F47" s="33"/>
      <c r="G47" s="33"/>
      <c r="H47" s="33"/>
      <c r="I47" s="33"/>
      <c r="J47" s="33"/>
      <c r="K47" s="33"/>
      <c r="L47" s="33"/>
      <c r="M47" s="33"/>
      <c r="N47" s="33"/>
      <c r="O47" s="33"/>
      <c r="P47" s="33"/>
      <c r="Q47" s="33"/>
      <c r="R47" s="33"/>
      <c r="S47" s="33"/>
      <c r="T47" s="33"/>
      <c r="U47" s="70"/>
      <c r="V47" s="70"/>
      <c r="W47" s="70"/>
      <c r="X47" s="22"/>
      <c r="Y47" s="22"/>
      <c r="Z47" s="22"/>
      <c r="AA47" s="22"/>
      <c r="AB47" s="22"/>
      <c r="AC47" s="22"/>
      <c r="AD47" s="60"/>
      <c r="AE47" s="60"/>
      <c r="AF47" s="76"/>
      <c r="AG47" s="77"/>
      <c r="AH47" s="22"/>
      <c r="AI47" s="22"/>
    </row>
    <row r="48" spans="2:35" ht="15" customHeight="1">
      <c r="B48" s="27"/>
      <c r="C48" s="33"/>
      <c r="D48" s="33"/>
      <c r="E48" s="33"/>
      <c r="F48" s="33"/>
      <c r="G48" s="33"/>
      <c r="H48" s="33"/>
      <c r="I48" s="33"/>
      <c r="J48" s="33"/>
      <c r="K48" s="33"/>
      <c r="L48" s="33"/>
      <c r="M48" s="33"/>
      <c r="N48" s="33"/>
      <c r="O48" s="33"/>
      <c r="P48" s="33"/>
      <c r="Q48" s="33"/>
      <c r="R48" s="33"/>
      <c r="S48" s="33"/>
      <c r="T48" s="33"/>
      <c r="U48" s="70"/>
      <c r="V48" s="70"/>
      <c r="W48" s="70"/>
      <c r="X48" s="22"/>
      <c r="Y48" s="22"/>
      <c r="Z48" s="78"/>
      <c r="AA48" s="58"/>
      <c r="AB48" s="79"/>
      <c r="AC48" s="79"/>
      <c r="AD48" s="58"/>
      <c r="AE48" s="59"/>
      <c r="AF48" s="59"/>
      <c r="AG48" s="60"/>
      <c r="AH48" s="22"/>
      <c r="AI48" s="22"/>
    </row>
    <row r="49" spans="2:35" ht="15" customHeight="1">
      <c r="B49" s="27"/>
      <c r="C49" s="80"/>
      <c r="D49" s="80"/>
      <c r="E49" s="80"/>
      <c r="F49" s="80"/>
      <c r="G49" s="80"/>
      <c r="H49" s="80"/>
      <c r="I49" s="80"/>
      <c r="J49" s="80"/>
      <c r="K49" s="80"/>
      <c r="L49" s="80"/>
      <c r="M49" s="80"/>
      <c r="N49" s="80"/>
      <c r="O49" s="80"/>
      <c r="P49" s="80"/>
      <c r="Q49" s="80"/>
      <c r="R49" s="80"/>
      <c r="S49" s="80"/>
      <c r="T49" s="80"/>
      <c r="U49" s="42"/>
      <c r="V49" s="42"/>
      <c r="W49" s="42"/>
      <c r="X49" s="22"/>
      <c r="Y49" s="22"/>
      <c r="Z49" s="81"/>
      <c r="AA49" s="61"/>
      <c r="AB49" s="61"/>
      <c r="AC49" s="61"/>
      <c r="AD49" s="66"/>
      <c r="AE49" s="66"/>
      <c r="AF49" s="66"/>
      <c r="AG49" s="60"/>
      <c r="AH49" s="22"/>
      <c r="AI49" s="22"/>
    </row>
    <row r="50" spans="3:35" ht="15" customHeight="1">
      <c r="C50" s="33"/>
      <c r="D50" s="33"/>
      <c r="E50" s="33"/>
      <c r="F50" s="33"/>
      <c r="G50" s="33"/>
      <c r="H50" s="33"/>
      <c r="I50" s="33"/>
      <c r="J50" s="33"/>
      <c r="K50" s="33"/>
      <c r="L50" s="33"/>
      <c r="M50" s="33"/>
      <c r="N50" s="33"/>
      <c r="O50" s="33"/>
      <c r="P50" s="33"/>
      <c r="Q50" s="33"/>
      <c r="R50" s="33"/>
      <c r="S50" s="33"/>
      <c r="T50" s="33"/>
      <c r="U50" s="70"/>
      <c r="V50" s="70"/>
      <c r="W50" s="70"/>
      <c r="X50" s="22"/>
      <c r="Y50" s="22"/>
      <c r="Z50" s="81"/>
      <c r="AA50" s="61"/>
      <c r="AB50" s="61"/>
      <c r="AC50" s="61"/>
      <c r="AD50" s="66"/>
      <c r="AE50" s="66"/>
      <c r="AF50" s="66"/>
      <c r="AG50" s="60"/>
      <c r="AH50" s="22"/>
      <c r="AI50" s="22"/>
    </row>
    <row r="51" spans="3:35" ht="15" customHeight="1">
      <c r="C51" s="33"/>
      <c r="D51" s="33"/>
      <c r="E51" s="33"/>
      <c r="F51" s="33"/>
      <c r="G51" s="33"/>
      <c r="H51" s="33"/>
      <c r="I51" s="33"/>
      <c r="J51" s="33"/>
      <c r="K51" s="33"/>
      <c r="L51" s="33"/>
      <c r="M51" s="33"/>
      <c r="N51" s="33"/>
      <c r="O51" s="33"/>
      <c r="P51" s="33"/>
      <c r="Q51" s="33"/>
      <c r="R51" s="33"/>
      <c r="S51" s="33"/>
      <c r="T51" s="33"/>
      <c r="U51" s="70"/>
      <c r="V51" s="70"/>
      <c r="W51" s="70"/>
      <c r="X51" s="22"/>
      <c r="Y51" s="22"/>
      <c r="Z51" s="61"/>
      <c r="AA51" s="61"/>
      <c r="AB51" s="61"/>
      <c r="AC51" s="61"/>
      <c r="AD51" s="66"/>
      <c r="AE51" s="67"/>
      <c r="AF51" s="67"/>
      <c r="AG51" s="82"/>
      <c r="AH51" s="22"/>
      <c r="AI51" s="22"/>
    </row>
    <row r="52" spans="3:35" ht="15" customHeight="1">
      <c r="C52" s="33"/>
      <c r="D52" s="33"/>
      <c r="E52" s="33"/>
      <c r="F52" s="33"/>
      <c r="G52" s="33"/>
      <c r="H52" s="33"/>
      <c r="I52" s="33"/>
      <c r="J52" s="33"/>
      <c r="K52" s="33"/>
      <c r="L52" s="33"/>
      <c r="M52" s="33"/>
      <c r="N52" s="33"/>
      <c r="O52" s="33"/>
      <c r="P52" s="33"/>
      <c r="Q52" s="33"/>
      <c r="R52" s="33"/>
      <c r="S52" s="33"/>
      <c r="T52" s="33"/>
      <c r="U52" s="70"/>
      <c r="V52" s="70"/>
      <c r="W52" s="70"/>
      <c r="X52" s="22"/>
      <c r="Y52" s="22"/>
      <c r="Z52" s="61"/>
      <c r="AA52" s="61"/>
      <c r="AB52" s="61"/>
      <c r="AC52" s="61"/>
      <c r="AD52" s="66"/>
      <c r="AE52" s="67"/>
      <c r="AF52" s="67"/>
      <c r="AG52" s="60"/>
      <c r="AH52" s="22"/>
      <c r="AI52" s="22"/>
    </row>
    <row r="53" spans="3:35" ht="15" customHeight="1">
      <c r="C53" s="33"/>
      <c r="D53" s="33"/>
      <c r="E53" s="33"/>
      <c r="F53" s="33"/>
      <c r="G53" s="33"/>
      <c r="H53" s="33"/>
      <c r="I53" s="33"/>
      <c r="J53" s="33"/>
      <c r="K53" s="33"/>
      <c r="L53" s="33"/>
      <c r="M53" s="33"/>
      <c r="N53" s="33"/>
      <c r="O53" s="33"/>
      <c r="P53" s="33"/>
      <c r="Q53" s="33"/>
      <c r="R53" s="33"/>
      <c r="S53" s="33"/>
      <c r="T53" s="33"/>
      <c r="U53" s="70"/>
      <c r="V53" s="70"/>
      <c r="W53" s="70"/>
      <c r="X53" s="22"/>
      <c r="Y53" s="22"/>
      <c r="Z53" s="61"/>
      <c r="AA53" s="61"/>
      <c r="AB53" s="61"/>
      <c r="AC53" s="61"/>
      <c r="AD53" s="66"/>
      <c r="AE53" s="67"/>
      <c r="AF53" s="67"/>
      <c r="AG53" s="60"/>
      <c r="AH53" s="22"/>
      <c r="AI53" s="22"/>
    </row>
    <row r="54" spans="3:35" ht="15" customHeight="1">
      <c r="C54" s="33"/>
      <c r="D54" s="33"/>
      <c r="E54" s="33"/>
      <c r="F54" s="33"/>
      <c r="G54" s="33"/>
      <c r="H54" s="33"/>
      <c r="I54" s="33"/>
      <c r="J54" s="33"/>
      <c r="K54" s="33"/>
      <c r="L54" s="33"/>
      <c r="M54" s="33"/>
      <c r="N54" s="33"/>
      <c r="O54" s="33"/>
      <c r="P54" s="33"/>
      <c r="Q54" s="33"/>
      <c r="R54" s="33"/>
      <c r="S54" s="33"/>
      <c r="T54" s="33"/>
      <c r="U54" s="70"/>
      <c r="V54" s="70"/>
      <c r="W54" s="83"/>
      <c r="X54" s="22"/>
      <c r="Y54" s="22"/>
      <c r="Z54" s="61"/>
      <c r="AA54" s="61"/>
      <c r="AB54" s="61"/>
      <c r="AC54" s="61"/>
      <c r="AD54" s="66"/>
      <c r="AE54" s="67"/>
      <c r="AF54" s="67"/>
      <c r="AG54" s="69"/>
      <c r="AH54" s="22"/>
      <c r="AI54" s="22"/>
    </row>
    <row r="55" spans="3:35" ht="15" customHeight="1">
      <c r="C55" s="80"/>
      <c r="D55" s="80"/>
      <c r="E55" s="80"/>
      <c r="F55" s="80"/>
      <c r="G55" s="80"/>
      <c r="H55" s="80"/>
      <c r="I55" s="80"/>
      <c r="J55" s="80"/>
      <c r="K55" s="80"/>
      <c r="L55" s="80"/>
      <c r="M55" s="80"/>
      <c r="N55" s="80"/>
      <c r="O55" s="80"/>
      <c r="P55" s="80"/>
      <c r="Q55" s="80"/>
      <c r="R55" s="80"/>
      <c r="S55" s="80"/>
      <c r="T55" s="80"/>
      <c r="U55" s="42"/>
      <c r="V55" s="42"/>
      <c r="W55" s="42"/>
      <c r="X55" s="22"/>
      <c r="Y55" s="22"/>
      <c r="Z55" s="61"/>
      <c r="AA55" s="61"/>
      <c r="AB55" s="61"/>
      <c r="AC55" s="61"/>
      <c r="AD55" s="66"/>
      <c r="AE55" s="67"/>
      <c r="AF55" s="67"/>
      <c r="AG55" s="60"/>
      <c r="AH55" s="22"/>
      <c r="AI55" s="22"/>
    </row>
    <row r="56" spans="3:35" ht="15" customHeight="1">
      <c r="C56" s="80"/>
      <c r="D56" s="80"/>
      <c r="E56" s="80"/>
      <c r="F56" s="80"/>
      <c r="G56" s="80"/>
      <c r="H56" s="80"/>
      <c r="I56" s="80"/>
      <c r="J56" s="80"/>
      <c r="K56" s="80"/>
      <c r="L56" s="80"/>
      <c r="M56" s="80"/>
      <c r="N56" s="80"/>
      <c r="O56" s="80"/>
      <c r="P56" s="80"/>
      <c r="Q56" s="80"/>
      <c r="R56" s="80"/>
      <c r="S56" s="80"/>
      <c r="T56" s="80"/>
      <c r="U56" s="42"/>
      <c r="V56" s="42"/>
      <c r="W56" s="42"/>
      <c r="X56" s="22"/>
      <c r="Y56" s="22"/>
      <c r="Z56" s="61"/>
      <c r="AA56" s="61"/>
      <c r="AB56" s="61"/>
      <c r="AC56" s="61"/>
      <c r="AD56" s="66"/>
      <c r="AE56" s="67"/>
      <c r="AF56" s="67"/>
      <c r="AG56" s="66"/>
      <c r="AH56" s="22"/>
      <c r="AI56" s="22"/>
    </row>
    <row r="57" spans="3:35" ht="15" customHeight="1">
      <c r="C57" s="33"/>
      <c r="D57" s="33"/>
      <c r="E57" s="33"/>
      <c r="F57" s="33"/>
      <c r="G57" s="33"/>
      <c r="H57" s="33"/>
      <c r="I57" s="33"/>
      <c r="J57" s="33"/>
      <c r="K57" s="33"/>
      <c r="L57" s="33"/>
      <c r="M57" s="33"/>
      <c r="N57" s="33"/>
      <c r="O57" s="33"/>
      <c r="P57" s="33"/>
      <c r="Q57" s="33"/>
      <c r="R57" s="33"/>
      <c r="S57" s="33"/>
      <c r="T57" s="33"/>
      <c r="U57" s="70"/>
      <c r="V57" s="70"/>
      <c r="W57" s="70"/>
      <c r="X57" s="22"/>
      <c r="Y57" s="22"/>
      <c r="Z57" s="84"/>
      <c r="AA57" s="61"/>
      <c r="AB57" s="61"/>
      <c r="AC57" s="61"/>
      <c r="AD57" s="66"/>
      <c r="AE57" s="67"/>
      <c r="AF57" s="67"/>
      <c r="AG57" s="60"/>
      <c r="AH57" s="22"/>
      <c r="AI57" s="22"/>
    </row>
    <row r="58" spans="3:35" ht="15" customHeight="1">
      <c r="C58" s="80"/>
      <c r="D58" s="80"/>
      <c r="E58" s="80"/>
      <c r="F58" s="80"/>
      <c r="G58" s="80"/>
      <c r="H58" s="80"/>
      <c r="I58" s="80"/>
      <c r="J58" s="80"/>
      <c r="K58" s="80"/>
      <c r="L58" s="80"/>
      <c r="M58" s="80"/>
      <c r="N58" s="80"/>
      <c r="O58" s="80"/>
      <c r="P58" s="80"/>
      <c r="Q58" s="80"/>
      <c r="R58" s="80"/>
      <c r="S58" s="80"/>
      <c r="T58" s="80"/>
      <c r="U58" s="42"/>
      <c r="V58" s="42"/>
      <c r="W58" s="42"/>
      <c r="X58" s="22"/>
      <c r="Y58" s="22"/>
      <c r="Z58" s="81"/>
      <c r="AA58" s="61"/>
      <c r="AB58" s="61"/>
      <c r="AC58" s="61"/>
      <c r="AD58" s="66"/>
      <c r="AE58" s="67"/>
      <c r="AF58" s="67"/>
      <c r="AG58" s="60"/>
      <c r="AH58" s="22"/>
      <c r="AI58" s="22"/>
    </row>
    <row r="59" spans="3:35" ht="15" customHeight="1">
      <c r="C59" s="22"/>
      <c r="D59" s="22"/>
      <c r="E59" s="22"/>
      <c r="F59" s="22"/>
      <c r="G59" s="22"/>
      <c r="H59" s="22"/>
      <c r="I59" s="22"/>
      <c r="J59" s="22"/>
      <c r="K59" s="22"/>
      <c r="L59" s="22"/>
      <c r="M59" s="22"/>
      <c r="N59" s="22"/>
      <c r="O59" s="22"/>
      <c r="P59" s="22"/>
      <c r="Q59" s="22"/>
      <c r="R59" s="22"/>
      <c r="S59" s="22"/>
      <c r="T59" s="22"/>
      <c r="U59" s="86"/>
      <c r="V59" s="86"/>
      <c r="W59" s="86"/>
      <c r="X59" s="22"/>
      <c r="Y59" s="22"/>
      <c r="Z59" s="61"/>
      <c r="AA59" s="61"/>
      <c r="AB59" s="61"/>
      <c r="AC59" s="66"/>
      <c r="AD59" s="87"/>
      <c r="AE59" s="66"/>
      <c r="AF59" s="66"/>
      <c r="AG59" s="60"/>
      <c r="AH59" s="22"/>
      <c r="AI59" s="22"/>
    </row>
    <row r="60" spans="3:35" ht="15" customHeight="1">
      <c r="C60" s="33"/>
      <c r="D60" s="33"/>
      <c r="E60" s="33"/>
      <c r="F60" s="33"/>
      <c r="G60" s="33"/>
      <c r="H60" s="33"/>
      <c r="I60" s="33"/>
      <c r="J60" s="33"/>
      <c r="K60" s="33"/>
      <c r="L60" s="33"/>
      <c r="M60" s="33"/>
      <c r="N60" s="33"/>
      <c r="O60" s="33"/>
      <c r="P60" s="33"/>
      <c r="Q60" s="33"/>
      <c r="R60" s="33"/>
      <c r="S60" s="33"/>
      <c r="T60" s="33"/>
      <c r="U60" s="86"/>
      <c r="V60" s="86"/>
      <c r="W60" s="86"/>
      <c r="X60" s="22"/>
      <c r="Y60" s="22"/>
      <c r="Z60" s="73"/>
      <c r="AA60" s="73"/>
      <c r="AB60" s="73"/>
      <c r="AC60" s="73"/>
      <c r="AD60" s="74"/>
      <c r="AE60" s="74"/>
      <c r="AF60" s="74"/>
      <c r="AG60" s="60"/>
      <c r="AH60" s="22"/>
      <c r="AI60" s="22"/>
    </row>
    <row r="61" spans="3:35" ht="15" customHeight="1">
      <c r="C61" s="43"/>
      <c r="D61" s="43"/>
      <c r="E61" s="43"/>
      <c r="F61" s="43"/>
      <c r="G61" s="43"/>
      <c r="H61" s="43"/>
      <c r="I61" s="43"/>
      <c r="J61" s="43"/>
      <c r="K61" s="43"/>
      <c r="L61" s="43"/>
      <c r="M61" s="43"/>
      <c r="N61" s="43"/>
      <c r="O61" s="43"/>
      <c r="P61" s="43"/>
      <c r="Q61" s="43"/>
      <c r="R61" s="43"/>
      <c r="S61" s="43"/>
      <c r="T61" s="43"/>
      <c r="U61" s="44"/>
      <c r="V61" s="44"/>
      <c r="W61" s="44"/>
      <c r="X61" s="22"/>
      <c r="Y61" s="22"/>
      <c r="Z61" s="73"/>
      <c r="AA61" s="22"/>
      <c r="AB61" s="91"/>
      <c r="AC61" s="73"/>
      <c r="AD61" s="74"/>
      <c r="AE61" s="74"/>
      <c r="AF61" s="74"/>
      <c r="AG61" s="60"/>
      <c r="AH61" s="22"/>
      <c r="AI61" s="22"/>
    </row>
    <row r="62" spans="3:35" ht="15" customHeight="1">
      <c r="C62" s="43"/>
      <c r="D62" s="43"/>
      <c r="E62" s="43"/>
      <c r="F62" s="43"/>
      <c r="G62" s="43"/>
      <c r="H62" s="43"/>
      <c r="I62" s="43"/>
      <c r="J62" s="43"/>
      <c r="K62" s="43"/>
      <c r="L62" s="43"/>
      <c r="M62" s="43"/>
      <c r="N62" s="43"/>
      <c r="O62" s="43"/>
      <c r="P62" s="43"/>
      <c r="Q62" s="43"/>
      <c r="R62" s="43"/>
      <c r="S62" s="43"/>
      <c r="T62" s="43"/>
      <c r="U62" s="44"/>
      <c r="V62" s="44"/>
      <c r="W62" s="44"/>
      <c r="X62" s="22"/>
      <c r="Y62" s="22"/>
      <c r="Z62" s="73"/>
      <c r="AA62" s="61"/>
      <c r="AB62" s="73"/>
      <c r="AC62" s="73"/>
      <c r="AD62" s="74"/>
      <c r="AE62" s="74"/>
      <c r="AF62" s="74"/>
      <c r="AG62" s="60"/>
      <c r="AH62" s="22"/>
      <c r="AI62" s="22"/>
    </row>
    <row r="63" spans="3:35" ht="15" customHeight="1">
      <c r="C63" s="33"/>
      <c r="D63" s="33"/>
      <c r="E63" s="33"/>
      <c r="F63" s="33"/>
      <c r="G63" s="33"/>
      <c r="H63" s="33"/>
      <c r="I63" s="33"/>
      <c r="J63" s="33"/>
      <c r="K63" s="33"/>
      <c r="L63" s="33"/>
      <c r="M63" s="33"/>
      <c r="N63" s="33"/>
      <c r="O63" s="33"/>
      <c r="P63" s="33"/>
      <c r="Q63" s="33"/>
      <c r="R63" s="33"/>
      <c r="S63" s="33"/>
      <c r="T63" s="33"/>
      <c r="U63" s="92"/>
      <c r="V63" s="92"/>
      <c r="W63" s="92"/>
      <c r="X63" s="22"/>
      <c r="Y63" s="22"/>
      <c r="Z63" s="73"/>
      <c r="AA63" s="73"/>
      <c r="AB63" s="73"/>
      <c r="AC63" s="73"/>
      <c r="AD63" s="74"/>
      <c r="AE63" s="74"/>
      <c r="AF63" s="74"/>
      <c r="AG63" s="60"/>
      <c r="AH63" s="22"/>
      <c r="AI63" s="22"/>
    </row>
    <row r="64" spans="3:35" ht="15" customHeight="1">
      <c r="C64" s="33"/>
      <c r="D64" s="33"/>
      <c r="E64" s="33"/>
      <c r="F64" s="33"/>
      <c r="G64" s="33"/>
      <c r="H64" s="33"/>
      <c r="I64" s="33"/>
      <c r="J64" s="33"/>
      <c r="K64" s="33"/>
      <c r="L64" s="33"/>
      <c r="M64" s="33"/>
      <c r="N64" s="33"/>
      <c r="O64" s="33"/>
      <c r="P64" s="33"/>
      <c r="Q64" s="33"/>
      <c r="R64" s="33"/>
      <c r="S64" s="33"/>
      <c r="T64" s="33"/>
      <c r="U64" s="92"/>
      <c r="V64" s="92"/>
      <c r="W64" s="92"/>
      <c r="X64" s="22"/>
      <c r="Y64" s="22"/>
      <c r="Z64" s="73"/>
      <c r="AA64" s="73"/>
      <c r="AB64" s="73"/>
      <c r="AC64" s="73"/>
      <c r="AD64" s="74"/>
      <c r="AE64" s="74"/>
      <c r="AF64" s="74"/>
      <c r="AG64" s="60"/>
      <c r="AH64" s="22"/>
      <c r="AI64" s="22"/>
    </row>
    <row r="65" spans="3:35" ht="15" customHeight="1">
      <c r="C65" s="33"/>
      <c r="D65" s="33"/>
      <c r="E65" s="33"/>
      <c r="F65" s="33"/>
      <c r="G65" s="33"/>
      <c r="H65" s="33"/>
      <c r="I65" s="33"/>
      <c r="J65" s="33"/>
      <c r="K65" s="33"/>
      <c r="L65" s="33"/>
      <c r="M65" s="33"/>
      <c r="N65" s="33"/>
      <c r="O65" s="33"/>
      <c r="P65" s="33"/>
      <c r="Q65" s="33"/>
      <c r="R65" s="33"/>
      <c r="S65" s="33"/>
      <c r="T65" s="33"/>
      <c r="U65" s="70"/>
      <c r="V65" s="70"/>
      <c r="W65" s="70"/>
      <c r="X65" s="22"/>
      <c r="Y65" s="22"/>
      <c r="Z65" s="73"/>
      <c r="AA65" s="73"/>
      <c r="AB65" s="73"/>
      <c r="AC65" s="73"/>
      <c r="AD65" s="74"/>
      <c r="AE65" s="74"/>
      <c r="AF65" s="74"/>
      <c r="AG65" s="22"/>
      <c r="AH65" s="22"/>
      <c r="AI65" s="22"/>
    </row>
    <row r="66" spans="3:35" ht="15" customHeight="1">
      <c r="C66" s="33"/>
      <c r="D66" s="33"/>
      <c r="E66" s="33"/>
      <c r="F66" s="33"/>
      <c r="G66" s="33"/>
      <c r="H66" s="33"/>
      <c r="I66" s="33"/>
      <c r="J66" s="33"/>
      <c r="K66" s="33"/>
      <c r="L66" s="33"/>
      <c r="M66" s="33"/>
      <c r="N66" s="33"/>
      <c r="O66" s="33"/>
      <c r="P66" s="33"/>
      <c r="Q66" s="33"/>
      <c r="R66" s="33"/>
      <c r="S66" s="33"/>
      <c r="T66" s="33"/>
      <c r="U66" s="92"/>
      <c r="V66" s="92"/>
      <c r="W66" s="92"/>
      <c r="X66" s="22"/>
      <c r="Y66" s="22"/>
      <c r="Z66" s="73"/>
      <c r="AA66" s="73"/>
      <c r="AB66" s="73"/>
      <c r="AC66" s="73"/>
      <c r="AD66" s="74"/>
      <c r="AE66" s="74"/>
      <c r="AF66" s="74"/>
      <c r="AG66" s="22"/>
      <c r="AH66" s="22"/>
      <c r="AI66" s="22"/>
    </row>
    <row r="67" spans="3:35" ht="15" customHeight="1">
      <c r="C67" s="33"/>
      <c r="D67" s="33"/>
      <c r="E67" s="33"/>
      <c r="F67" s="33"/>
      <c r="G67" s="33"/>
      <c r="H67" s="33"/>
      <c r="I67" s="33"/>
      <c r="J67" s="33"/>
      <c r="K67" s="33"/>
      <c r="L67" s="33"/>
      <c r="M67" s="33"/>
      <c r="N67" s="33"/>
      <c r="O67" s="33"/>
      <c r="P67" s="33"/>
      <c r="Q67" s="33"/>
      <c r="R67" s="33"/>
      <c r="S67" s="33"/>
      <c r="T67" s="33"/>
      <c r="U67" s="70"/>
      <c r="V67" s="70"/>
      <c r="W67" s="70"/>
      <c r="X67" s="22"/>
      <c r="Y67" s="22"/>
      <c r="Z67" s="22"/>
      <c r="AA67" s="22"/>
      <c r="AB67" s="22"/>
      <c r="AC67" s="22"/>
      <c r="AD67" s="22"/>
      <c r="AE67" s="22"/>
      <c r="AF67" s="22"/>
      <c r="AG67" s="22"/>
      <c r="AH67" s="22"/>
      <c r="AI67" s="22"/>
    </row>
    <row r="68" spans="3:35" ht="15" customHeight="1">
      <c r="C68" s="33"/>
      <c r="D68" s="33"/>
      <c r="E68" s="33"/>
      <c r="F68" s="33"/>
      <c r="G68" s="33"/>
      <c r="H68" s="33"/>
      <c r="I68" s="33"/>
      <c r="J68" s="33"/>
      <c r="K68" s="33"/>
      <c r="L68" s="33"/>
      <c r="M68" s="33"/>
      <c r="N68" s="33"/>
      <c r="O68" s="33"/>
      <c r="P68" s="33"/>
      <c r="Q68" s="33"/>
      <c r="R68" s="33"/>
      <c r="S68" s="33"/>
      <c r="T68" s="33"/>
      <c r="U68" s="86"/>
      <c r="V68" s="86"/>
      <c r="W68" s="86"/>
      <c r="X68" s="22"/>
      <c r="Y68" s="22"/>
      <c r="Z68" s="22"/>
      <c r="AA68" s="22"/>
      <c r="AB68" s="22"/>
      <c r="AC68" s="22"/>
      <c r="AD68" s="22"/>
      <c r="AE68" s="22"/>
      <c r="AF68" s="22"/>
      <c r="AG68" s="22"/>
      <c r="AH68" s="22"/>
      <c r="AI68" s="22"/>
    </row>
    <row r="69" spans="3:35" ht="15" customHeight="1">
      <c r="C69" s="33"/>
      <c r="D69" s="33"/>
      <c r="E69" s="33"/>
      <c r="F69" s="33"/>
      <c r="G69" s="33"/>
      <c r="H69" s="33"/>
      <c r="I69" s="33"/>
      <c r="J69" s="33"/>
      <c r="K69" s="33"/>
      <c r="L69" s="33"/>
      <c r="M69" s="33"/>
      <c r="N69" s="33"/>
      <c r="O69" s="33"/>
      <c r="P69" s="33"/>
      <c r="Q69" s="33"/>
      <c r="R69" s="33"/>
      <c r="S69" s="33"/>
      <c r="T69" s="33"/>
      <c r="U69" s="86"/>
      <c r="V69" s="86"/>
      <c r="W69" s="86"/>
      <c r="X69" s="22"/>
      <c r="Y69" s="22"/>
      <c r="Z69" s="22"/>
      <c r="AA69" s="22"/>
      <c r="AB69" s="22"/>
      <c r="AC69" s="22"/>
      <c r="AD69" s="22"/>
      <c r="AE69" s="22"/>
      <c r="AF69" s="22"/>
      <c r="AG69" s="22"/>
      <c r="AH69" s="22"/>
      <c r="AI69" s="22"/>
    </row>
    <row r="70" spans="3:35"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3:35"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3:35"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3:35" ht="15" customHeight="1">
      <c r="C73" s="43"/>
      <c r="D73" s="43"/>
      <c r="E73" s="43"/>
      <c r="F73" s="43"/>
      <c r="G73" s="43"/>
      <c r="H73" s="43"/>
      <c r="I73" s="43"/>
      <c r="J73" s="43"/>
      <c r="K73" s="43"/>
      <c r="L73" s="43"/>
      <c r="M73" s="43"/>
      <c r="N73" s="43"/>
      <c r="O73" s="43"/>
      <c r="P73" s="43"/>
      <c r="Q73" s="43"/>
      <c r="R73" s="43"/>
      <c r="S73" s="43"/>
      <c r="T73" s="43"/>
      <c r="U73" s="44"/>
      <c r="V73" s="44"/>
      <c r="W73" s="44"/>
      <c r="X73" s="22"/>
      <c r="Y73" s="22"/>
      <c r="Z73" s="22"/>
      <c r="AA73" s="22"/>
      <c r="AB73" s="22"/>
      <c r="AC73" s="22"/>
      <c r="AD73" s="22"/>
      <c r="AE73" s="22"/>
      <c r="AF73" s="22"/>
      <c r="AG73" s="22"/>
      <c r="AH73" s="22"/>
      <c r="AI73" s="22"/>
    </row>
    <row r="74" spans="3:35" ht="15" customHeight="1">
      <c r="C74" s="43"/>
      <c r="D74" s="43"/>
      <c r="E74" s="43"/>
      <c r="F74" s="43"/>
      <c r="G74" s="43"/>
      <c r="H74" s="43"/>
      <c r="I74" s="43"/>
      <c r="J74" s="43"/>
      <c r="K74" s="43"/>
      <c r="L74" s="43"/>
      <c r="M74" s="43"/>
      <c r="N74" s="43"/>
      <c r="O74" s="43"/>
      <c r="P74" s="43"/>
      <c r="Q74" s="43"/>
      <c r="R74" s="43"/>
      <c r="S74" s="43"/>
      <c r="T74" s="43"/>
      <c r="U74" s="44"/>
      <c r="V74" s="44"/>
      <c r="W74" s="44"/>
      <c r="X74" s="22"/>
      <c r="Y74" s="22"/>
      <c r="Z74" s="88"/>
      <c r="AA74" s="89"/>
      <c r="AB74" s="276"/>
      <c r="AC74" s="276"/>
      <c r="AD74" s="275"/>
      <c r="AE74" s="275"/>
      <c r="AF74" s="42"/>
      <c r="AG74" s="42"/>
      <c r="AH74" s="22"/>
      <c r="AI74" s="22"/>
    </row>
    <row r="75" spans="3:35" ht="15" customHeight="1">
      <c r="C75" s="33"/>
      <c r="D75" s="33"/>
      <c r="E75" s="33"/>
      <c r="F75" s="33"/>
      <c r="G75" s="33"/>
      <c r="H75" s="33"/>
      <c r="I75" s="33"/>
      <c r="J75" s="33"/>
      <c r="K75" s="33"/>
      <c r="L75" s="33"/>
      <c r="M75" s="33"/>
      <c r="N75" s="33"/>
      <c r="O75" s="33"/>
      <c r="P75" s="33"/>
      <c r="Q75" s="33"/>
      <c r="R75" s="33"/>
      <c r="S75" s="33"/>
      <c r="T75" s="33"/>
      <c r="U75" s="70"/>
      <c r="V75" s="70"/>
      <c r="W75" s="70"/>
      <c r="X75" s="22"/>
      <c r="Y75" s="22"/>
      <c r="Z75" s="22"/>
      <c r="AA75" s="22"/>
      <c r="AB75" s="22"/>
      <c r="AC75" s="22"/>
      <c r="AD75" s="60"/>
      <c r="AE75" s="60"/>
      <c r="AF75" s="76"/>
      <c r="AG75" s="90"/>
      <c r="AH75" s="22"/>
      <c r="AI75" s="22"/>
    </row>
    <row r="76" spans="3:35" ht="15" customHeight="1">
      <c r="C76" s="33"/>
      <c r="D76" s="33"/>
      <c r="E76" s="33"/>
      <c r="F76" s="33"/>
      <c r="G76" s="33"/>
      <c r="H76" s="33"/>
      <c r="I76" s="33"/>
      <c r="J76" s="33"/>
      <c r="K76" s="33"/>
      <c r="L76" s="33"/>
      <c r="M76" s="33"/>
      <c r="N76" s="33"/>
      <c r="O76" s="33"/>
      <c r="P76" s="33"/>
      <c r="Q76" s="33"/>
      <c r="R76" s="33"/>
      <c r="S76" s="33"/>
      <c r="T76" s="33"/>
      <c r="U76" s="70"/>
      <c r="V76" s="70"/>
      <c r="W76" s="70"/>
      <c r="X76" s="22"/>
      <c r="Y76" s="22"/>
      <c r="Z76" s="22"/>
      <c r="AA76" s="22"/>
      <c r="AB76" s="22"/>
      <c r="AC76" s="22"/>
      <c r="AD76" s="60"/>
      <c r="AE76" s="60"/>
      <c r="AF76" s="76"/>
      <c r="AG76" s="77"/>
      <c r="AH76" s="22"/>
      <c r="AI76" s="22"/>
    </row>
    <row r="77" spans="3:35" ht="15" customHeight="1">
      <c r="C77" s="33"/>
      <c r="D77" s="33"/>
      <c r="E77" s="33"/>
      <c r="F77" s="33"/>
      <c r="G77" s="33"/>
      <c r="H77" s="33"/>
      <c r="I77" s="33"/>
      <c r="J77" s="33"/>
      <c r="K77" s="33"/>
      <c r="L77" s="33"/>
      <c r="M77" s="33"/>
      <c r="N77" s="33"/>
      <c r="O77" s="33"/>
      <c r="P77" s="33"/>
      <c r="Q77" s="33"/>
      <c r="R77" s="33"/>
      <c r="S77" s="33"/>
      <c r="T77" s="33"/>
      <c r="U77" s="70"/>
      <c r="V77" s="70"/>
      <c r="W77" s="70"/>
      <c r="X77" s="22"/>
      <c r="Y77" s="22"/>
      <c r="Z77" s="78"/>
      <c r="AA77" s="58"/>
      <c r="AB77" s="79"/>
      <c r="AC77" s="79"/>
      <c r="AD77" s="58"/>
      <c r="AE77" s="59"/>
      <c r="AF77" s="59"/>
      <c r="AG77" s="60"/>
      <c r="AH77" s="22"/>
      <c r="AI77" s="22"/>
    </row>
    <row r="78" spans="3:35" ht="15" customHeight="1">
      <c r="C78" s="80"/>
      <c r="D78" s="80"/>
      <c r="E78" s="80"/>
      <c r="F78" s="80"/>
      <c r="G78" s="80"/>
      <c r="H78" s="80"/>
      <c r="I78" s="80"/>
      <c r="J78" s="80"/>
      <c r="K78" s="80"/>
      <c r="L78" s="80"/>
      <c r="M78" s="80"/>
      <c r="N78" s="80"/>
      <c r="O78" s="80"/>
      <c r="P78" s="80"/>
      <c r="Q78" s="80"/>
      <c r="R78" s="80"/>
      <c r="S78" s="80"/>
      <c r="T78" s="80"/>
      <c r="U78" s="42"/>
      <c r="V78" s="42"/>
      <c r="W78" s="42"/>
      <c r="X78" s="22"/>
      <c r="Y78" s="22"/>
      <c r="Z78" s="81"/>
      <c r="AA78" s="61"/>
      <c r="AB78" s="61"/>
      <c r="AC78" s="61"/>
      <c r="AD78" s="66"/>
      <c r="AE78" s="66"/>
      <c r="AF78" s="66"/>
      <c r="AG78" s="60"/>
      <c r="AH78" s="22"/>
      <c r="AI78" s="22"/>
    </row>
    <row r="79" spans="3:35" ht="15" customHeight="1">
      <c r="C79" s="33"/>
      <c r="D79" s="33"/>
      <c r="E79" s="33"/>
      <c r="F79" s="33"/>
      <c r="G79" s="33"/>
      <c r="H79" s="33"/>
      <c r="I79" s="33"/>
      <c r="J79" s="33"/>
      <c r="K79" s="33"/>
      <c r="L79" s="33"/>
      <c r="M79" s="33"/>
      <c r="N79" s="33"/>
      <c r="O79" s="33"/>
      <c r="P79" s="33"/>
      <c r="Q79" s="33"/>
      <c r="R79" s="33"/>
      <c r="S79" s="33"/>
      <c r="T79" s="33"/>
      <c r="U79" s="70"/>
      <c r="V79" s="70"/>
      <c r="W79" s="70"/>
      <c r="X79" s="22"/>
      <c r="Y79" s="22"/>
      <c r="Z79" s="81"/>
      <c r="AA79" s="61"/>
      <c r="AB79" s="61"/>
      <c r="AC79" s="61"/>
      <c r="AD79" s="66"/>
      <c r="AE79" s="66"/>
      <c r="AF79" s="66"/>
      <c r="AG79" s="60"/>
      <c r="AH79" s="22"/>
      <c r="AI79" s="22"/>
    </row>
    <row r="80" spans="3:35" ht="15" customHeight="1">
      <c r="C80" s="33"/>
      <c r="D80" s="33"/>
      <c r="E80" s="33"/>
      <c r="F80" s="33"/>
      <c r="G80" s="33"/>
      <c r="H80" s="33"/>
      <c r="I80" s="33"/>
      <c r="J80" s="33"/>
      <c r="K80" s="33"/>
      <c r="L80" s="33"/>
      <c r="M80" s="33"/>
      <c r="N80" s="33"/>
      <c r="O80" s="33"/>
      <c r="P80" s="33"/>
      <c r="Q80" s="33"/>
      <c r="R80" s="33"/>
      <c r="S80" s="33"/>
      <c r="T80" s="33"/>
      <c r="U80" s="70"/>
      <c r="V80" s="70"/>
      <c r="W80" s="70"/>
      <c r="X80" s="22"/>
      <c r="Y80" s="22"/>
      <c r="Z80" s="61"/>
      <c r="AA80" s="61"/>
      <c r="AB80" s="61"/>
      <c r="AC80" s="61"/>
      <c r="AD80" s="66"/>
      <c r="AE80" s="67"/>
      <c r="AF80" s="67"/>
      <c r="AG80" s="82"/>
      <c r="AH80" s="22"/>
      <c r="AI80" s="22"/>
    </row>
    <row r="81" spans="3:35" ht="15" customHeight="1">
      <c r="C81" s="33"/>
      <c r="D81" s="33"/>
      <c r="E81" s="33"/>
      <c r="F81" s="33"/>
      <c r="G81" s="33"/>
      <c r="H81" s="33"/>
      <c r="I81" s="33"/>
      <c r="J81" s="33"/>
      <c r="K81" s="33"/>
      <c r="L81" s="33"/>
      <c r="M81" s="33"/>
      <c r="N81" s="33"/>
      <c r="O81" s="33"/>
      <c r="P81" s="33"/>
      <c r="Q81" s="33"/>
      <c r="R81" s="33"/>
      <c r="S81" s="33"/>
      <c r="T81" s="33"/>
      <c r="U81" s="70"/>
      <c r="V81" s="70"/>
      <c r="W81" s="70"/>
      <c r="X81" s="22"/>
      <c r="Y81" s="22"/>
      <c r="Z81" s="61"/>
      <c r="AA81" s="61"/>
      <c r="AB81" s="61"/>
      <c r="AC81" s="61"/>
      <c r="AD81" s="66"/>
      <c r="AE81" s="67"/>
      <c r="AF81" s="67"/>
      <c r="AG81" s="60"/>
      <c r="AH81" s="22"/>
      <c r="AI81" s="22"/>
    </row>
    <row r="82" spans="3:35" ht="15" customHeight="1">
      <c r="C82" s="33"/>
      <c r="D82" s="33"/>
      <c r="E82" s="33"/>
      <c r="F82" s="33"/>
      <c r="G82" s="33"/>
      <c r="H82" s="33"/>
      <c r="I82" s="33"/>
      <c r="J82" s="33"/>
      <c r="K82" s="33"/>
      <c r="L82" s="33"/>
      <c r="M82" s="33"/>
      <c r="N82" s="33"/>
      <c r="O82" s="33"/>
      <c r="P82" s="33"/>
      <c r="Q82" s="33"/>
      <c r="R82" s="33"/>
      <c r="S82" s="33"/>
      <c r="T82" s="33"/>
      <c r="U82" s="70"/>
      <c r="V82" s="70"/>
      <c r="W82" s="70"/>
      <c r="X82" s="22"/>
      <c r="Y82" s="22"/>
      <c r="Z82" s="61"/>
      <c r="AA82" s="61"/>
      <c r="AB82" s="61"/>
      <c r="AC82" s="61"/>
      <c r="AD82" s="66"/>
      <c r="AE82" s="67"/>
      <c r="AF82" s="67"/>
      <c r="AG82" s="60"/>
      <c r="AH82" s="22"/>
      <c r="AI82" s="22"/>
    </row>
    <row r="83" spans="3:35" ht="15" customHeight="1">
      <c r="C83" s="33"/>
      <c r="D83" s="33"/>
      <c r="E83" s="33"/>
      <c r="F83" s="33"/>
      <c r="G83" s="33"/>
      <c r="H83" s="33"/>
      <c r="I83" s="33"/>
      <c r="J83" s="33"/>
      <c r="K83" s="33"/>
      <c r="L83" s="33"/>
      <c r="M83" s="33"/>
      <c r="N83" s="33"/>
      <c r="O83" s="33"/>
      <c r="P83" s="33"/>
      <c r="Q83" s="33"/>
      <c r="R83" s="33"/>
      <c r="S83" s="33"/>
      <c r="T83" s="33"/>
      <c r="U83" s="70"/>
      <c r="V83" s="70"/>
      <c r="W83" s="83"/>
      <c r="X83" s="22"/>
      <c r="Y83" s="22"/>
      <c r="Z83" s="61"/>
      <c r="AA83" s="61"/>
      <c r="AB83" s="61"/>
      <c r="AC83" s="61"/>
      <c r="AD83" s="66"/>
      <c r="AE83" s="67"/>
      <c r="AF83" s="67"/>
      <c r="AG83" s="69"/>
      <c r="AH83" s="22"/>
      <c r="AI83" s="22"/>
    </row>
    <row r="84" spans="3:35" ht="15" customHeight="1">
      <c r="C84" s="80"/>
      <c r="D84" s="80"/>
      <c r="E84" s="80"/>
      <c r="F84" s="80"/>
      <c r="G84" s="80"/>
      <c r="H84" s="80"/>
      <c r="I84" s="80"/>
      <c r="J84" s="80"/>
      <c r="K84" s="80"/>
      <c r="L84" s="80"/>
      <c r="M84" s="80"/>
      <c r="N84" s="80"/>
      <c r="O84" s="80"/>
      <c r="P84" s="80"/>
      <c r="Q84" s="80"/>
      <c r="R84" s="80"/>
      <c r="S84" s="80"/>
      <c r="T84" s="80"/>
      <c r="U84" s="42"/>
      <c r="V84" s="42"/>
      <c r="W84" s="42"/>
      <c r="X84" s="22"/>
      <c r="Y84" s="22"/>
      <c r="Z84" s="61"/>
      <c r="AA84" s="61"/>
      <c r="AB84" s="61"/>
      <c r="AC84" s="61"/>
      <c r="AD84" s="66"/>
      <c r="AE84" s="67"/>
      <c r="AF84" s="67"/>
      <c r="AG84" s="60"/>
      <c r="AH84" s="22"/>
      <c r="AI84" s="22"/>
    </row>
    <row r="85" spans="3:35" ht="15" customHeight="1">
      <c r="C85" s="33"/>
      <c r="D85" s="33"/>
      <c r="E85" s="33"/>
      <c r="F85" s="33"/>
      <c r="G85" s="33"/>
      <c r="H85" s="33"/>
      <c r="I85" s="33"/>
      <c r="J85" s="33"/>
      <c r="K85" s="33"/>
      <c r="L85" s="33"/>
      <c r="M85" s="33"/>
      <c r="N85" s="33"/>
      <c r="O85" s="33"/>
      <c r="P85" s="33"/>
      <c r="Q85" s="33"/>
      <c r="R85" s="33"/>
      <c r="S85" s="33"/>
      <c r="T85" s="33"/>
      <c r="U85" s="42"/>
      <c r="V85" s="42"/>
      <c r="W85" s="42"/>
      <c r="X85" s="22"/>
      <c r="Y85" s="22"/>
      <c r="Z85" s="61"/>
      <c r="AA85" s="61"/>
      <c r="AB85" s="61"/>
      <c r="AC85" s="61"/>
      <c r="AD85" s="66"/>
      <c r="AE85" s="67"/>
      <c r="AF85" s="67"/>
      <c r="AG85" s="66"/>
      <c r="AH85" s="22"/>
      <c r="AI85" s="22"/>
    </row>
    <row r="86" spans="3:35" ht="15" customHeight="1">
      <c r="C86" s="33"/>
      <c r="D86" s="33"/>
      <c r="E86" s="33"/>
      <c r="F86" s="33"/>
      <c r="G86" s="33"/>
      <c r="H86" s="33"/>
      <c r="I86" s="33"/>
      <c r="J86" s="33"/>
      <c r="K86" s="33"/>
      <c r="L86" s="33"/>
      <c r="M86" s="33"/>
      <c r="N86" s="33"/>
      <c r="O86" s="33"/>
      <c r="P86" s="33"/>
      <c r="Q86" s="33"/>
      <c r="R86" s="33"/>
      <c r="S86" s="33"/>
      <c r="T86" s="33"/>
      <c r="U86" s="70"/>
      <c r="V86" s="70"/>
      <c r="W86" s="70"/>
      <c r="X86" s="22"/>
      <c r="Y86" s="22"/>
      <c r="Z86" s="84"/>
      <c r="AA86" s="61"/>
      <c r="AB86" s="61"/>
      <c r="AC86" s="61"/>
      <c r="AD86" s="66"/>
      <c r="AE86" s="67"/>
      <c r="AF86" s="67"/>
      <c r="AG86" s="60"/>
      <c r="AH86" s="22"/>
      <c r="AI86" s="22"/>
    </row>
    <row r="87" spans="3:35" ht="15" customHeight="1">
      <c r="C87" s="80"/>
      <c r="D87" s="80"/>
      <c r="E87" s="80"/>
      <c r="F87" s="80"/>
      <c r="G87" s="80"/>
      <c r="H87" s="80"/>
      <c r="I87" s="80"/>
      <c r="J87" s="80"/>
      <c r="K87" s="80"/>
      <c r="L87" s="80"/>
      <c r="M87" s="80"/>
      <c r="N87" s="80"/>
      <c r="O87" s="80"/>
      <c r="P87" s="80"/>
      <c r="Q87" s="80"/>
      <c r="R87" s="80"/>
      <c r="S87" s="80"/>
      <c r="T87" s="80"/>
      <c r="U87" s="42"/>
      <c r="V87" s="42"/>
      <c r="W87" s="42"/>
      <c r="X87" s="22"/>
      <c r="Y87" s="22"/>
      <c r="Z87" s="81"/>
      <c r="AA87" s="61"/>
      <c r="AB87" s="61"/>
      <c r="AC87" s="61"/>
      <c r="AD87" s="66"/>
      <c r="AE87" s="67"/>
      <c r="AF87" s="67"/>
      <c r="AG87" s="60"/>
      <c r="AH87" s="22"/>
      <c r="AI87" s="22"/>
    </row>
    <row r="88" spans="3:35" ht="15" customHeight="1">
      <c r="C88" s="33"/>
      <c r="D88" s="33"/>
      <c r="E88" s="33"/>
      <c r="F88" s="33"/>
      <c r="G88" s="33"/>
      <c r="H88" s="33"/>
      <c r="I88" s="33"/>
      <c r="J88" s="33"/>
      <c r="K88" s="33"/>
      <c r="L88" s="33"/>
      <c r="M88" s="33"/>
      <c r="N88" s="33"/>
      <c r="O88" s="33"/>
      <c r="P88" s="33"/>
      <c r="Q88" s="33"/>
      <c r="R88" s="33"/>
      <c r="S88" s="33"/>
      <c r="T88" s="33"/>
      <c r="U88" s="86"/>
      <c r="V88" s="86"/>
      <c r="W88" s="86"/>
      <c r="X88" s="22"/>
      <c r="Y88" s="22"/>
      <c r="Z88" s="61"/>
      <c r="AA88" s="61"/>
      <c r="AB88" s="61"/>
      <c r="AC88" s="66"/>
      <c r="AD88" s="87"/>
      <c r="AE88" s="66"/>
      <c r="AF88" s="66"/>
      <c r="AG88" s="60"/>
      <c r="AH88" s="22"/>
      <c r="AI88" s="22"/>
    </row>
    <row r="89" spans="3:35" ht="15" customHeight="1">
      <c r="C89" s="33"/>
      <c r="D89" s="33"/>
      <c r="E89" s="33"/>
      <c r="F89" s="33"/>
      <c r="G89" s="33"/>
      <c r="H89" s="33"/>
      <c r="I89" s="33"/>
      <c r="J89" s="33"/>
      <c r="K89" s="33"/>
      <c r="L89" s="33"/>
      <c r="M89" s="33"/>
      <c r="N89" s="33"/>
      <c r="O89" s="33"/>
      <c r="P89" s="33"/>
      <c r="Q89" s="33"/>
      <c r="R89" s="33"/>
      <c r="S89" s="33"/>
      <c r="T89" s="33"/>
      <c r="U89" s="86"/>
      <c r="V89" s="86"/>
      <c r="W89" s="86"/>
      <c r="X89" s="22"/>
      <c r="Y89" s="22"/>
      <c r="Z89" s="73"/>
      <c r="AA89" s="73"/>
      <c r="AB89" s="73"/>
      <c r="AC89" s="73"/>
      <c r="AD89" s="74"/>
      <c r="AE89" s="74"/>
      <c r="AF89" s="74"/>
      <c r="AG89" s="60"/>
      <c r="AH89" s="22"/>
      <c r="AI89" s="22"/>
    </row>
    <row r="90" spans="3:35" ht="15" customHeight="1">
      <c r="C90" s="43"/>
      <c r="D90" s="43"/>
      <c r="E90" s="43"/>
      <c r="F90" s="43"/>
      <c r="G90" s="43"/>
      <c r="H90" s="43"/>
      <c r="I90" s="43"/>
      <c r="J90" s="43"/>
      <c r="K90" s="43"/>
      <c r="L90" s="43"/>
      <c r="M90" s="43"/>
      <c r="N90" s="43"/>
      <c r="O90" s="43"/>
      <c r="P90" s="43"/>
      <c r="Q90" s="43"/>
      <c r="R90" s="43"/>
      <c r="S90" s="43"/>
      <c r="T90" s="43"/>
      <c r="U90" s="44"/>
      <c r="V90" s="44"/>
      <c r="W90" s="44"/>
      <c r="X90" s="22"/>
      <c r="Y90" s="22"/>
      <c r="Z90" s="73"/>
      <c r="AA90" s="22"/>
      <c r="AB90" s="91"/>
      <c r="AC90" s="73"/>
      <c r="AD90" s="74"/>
      <c r="AE90" s="74"/>
      <c r="AF90" s="74"/>
      <c r="AG90" s="60"/>
      <c r="AH90" s="22"/>
      <c r="AI90" s="22"/>
    </row>
    <row r="91" spans="3:35" ht="15" customHeight="1">
      <c r="C91" s="43"/>
      <c r="D91" s="43"/>
      <c r="E91" s="43"/>
      <c r="F91" s="43"/>
      <c r="G91" s="43"/>
      <c r="H91" s="43"/>
      <c r="I91" s="43"/>
      <c r="J91" s="43"/>
      <c r="K91" s="43"/>
      <c r="L91" s="43"/>
      <c r="M91" s="43"/>
      <c r="N91" s="43"/>
      <c r="O91" s="43"/>
      <c r="P91" s="43"/>
      <c r="Q91" s="43"/>
      <c r="R91" s="43"/>
      <c r="S91" s="43"/>
      <c r="T91" s="43"/>
      <c r="U91" s="44"/>
      <c r="V91" s="44"/>
      <c r="W91" s="44"/>
      <c r="X91" s="22"/>
      <c r="Y91" s="22"/>
      <c r="Z91" s="73"/>
      <c r="AA91" s="61"/>
      <c r="AB91" s="73"/>
      <c r="AC91" s="73"/>
      <c r="AD91" s="74"/>
      <c r="AE91" s="74"/>
      <c r="AF91" s="74"/>
      <c r="AG91" s="60"/>
      <c r="AH91" s="22"/>
      <c r="AI91" s="22"/>
    </row>
    <row r="92" spans="3:35" ht="15" customHeight="1">
      <c r="C92" s="33"/>
      <c r="D92" s="33"/>
      <c r="E92" s="33"/>
      <c r="F92" s="33"/>
      <c r="G92" s="33"/>
      <c r="H92" s="33"/>
      <c r="I92" s="33"/>
      <c r="J92" s="33"/>
      <c r="K92" s="33"/>
      <c r="L92" s="33"/>
      <c r="M92" s="33"/>
      <c r="N92" s="33"/>
      <c r="O92" s="33"/>
      <c r="P92" s="33"/>
      <c r="Q92" s="33"/>
      <c r="R92" s="33"/>
      <c r="S92" s="33"/>
      <c r="T92" s="33"/>
      <c r="U92" s="92"/>
      <c r="V92" s="92"/>
      <c r="W92" s="92"/>
      <c r="X92" s="22"/>
      <c r="Y92" s="22"/>
      <c r="Z92" s="73"/>
      <c r="AA92" s="73"/>
      <c r="AB92" s="73"/>
      <c r="AC92" s="73"/>
      <c r="AD92" s="74"/>
      <c r="AE92" s="74"/>
      <c r="AF92" s="74"/>
      <c r="AG92" s="60"/>
      <c r="AH92" s="22"/>
      <c r="AI92" s="22"/>
    </row>
    <row r="93" spans="3:35" ht="15" customHeight="1">
      <c r="C93" s="33"/>
      <c r="D93" s="33"/>
      <c r="E93" s="33"/>
      <c r="F93" s="33"/>
      <c r="G93" s="33"/>
      <c r="H93" s="33"/>
      <c r="I93" s="33"/>
      <c r="J93" s="33"/>
      <c r="K93" s="33"/>
      <c r="L93" s="33"/>
      <c r="M93" s="33"/>
      <c r="N93" s="33"/>
      <c r="O93" s="33"/>
      <c r="P93" s="33"/>
      <c r="Q93" s="33"/>
      <c r="R93" s="33"/>
      <c r="S93" s="33"/>
      <c r="T93" s="33"/>
      <c r="U93" s="92"/>
      <c r="V93" s="92"/>
      <c r="W93" s="92"/>
      <c r="X93" s="22"/>
      <c r="Y93" s="22"/>
      <c r="Z93" s="73"/>
      <c r="AA93" s="73"/>
      <c r="AB93" s="73"/>
      <c r="AC93" s="73"/>
      <c r="AD93" s="74"/>
      <c r="AE93" s="74"/>
      <c r="AF93" s="74"/>
      <c r="AG93" s="60"/>
      <c r="AH93" s="22"/>
      <c r="AI93" s="22"/>
    </row>
    <row r="94" spans="3:35" ht="15" customHeight="1">
      <c r="C94" s="33"/>
      <c r="D94" s="33"/>
      <c r="E94" s="33"/>
      <c r="F94" s="33"/>
      <c r="G94" s="33"/>
      <c r="H94" s="33"/>
      <c r="I94" s="33"/>
      <c r="J94" s="33"/>
      <c r="K94" s="33"/>
      <c r="L94" s="33"/>
      <c r="M94" s="33"/>
      <c r="N94" s="33"/>
      <c r="O94" s="33"/>
      <c r="P94" s="33"/>
      <c r="Q94" s="33"/>
      <c r="R94" s="33"/>
      <c r="S94" s="33"/>
      <c r="T94" s="33"/>
      <c r="U94" s="70"/>
      <c r="V94" s="70"/>
      <c r="W94" s="70"/>
      <c r="X94" s="22"/>
      <c r="Y94" s="22"/>
      <c r="Z94" s="73"/>
      <c r="AA94" s="73"/>
      <c r="AB94" s="73"/>
      <c r="AC94" s="73"/>
      <c r="AD94" s="74"/>
      <c r="AE94" s="74"/>
      <c r="AF94" s="74"/>
      <c r="AG94" s="22"/>
      <c r="AH94" s="22"/>
      <c r="AI94" s="22"/>
    </row>
    <row r="95" spans="3:35" ht="15" customHeight="1">
      <c r="C95" s="33"/>
      <c r="D95" s="33"/>
      <c r="E95" s="33"/>
      <c r="F95" s="33"/>
      <c r="G95" s="33"/>
      <c r="H95" s="33"/>
      <c r="I95" s="33"/>
      <c r="J95" s="33"/>
      <c r="K95" s="33"/>
      <c r="L95" s="33"/>
      <c r="M95" s="33"/>
      <c r="N95" s="33"/>
      <c r="O95" s="33"/>
      <c r="P95" s="33"/>
      <c r="Q95" s="33"/>
      <c r="R95" s="33"/>
      <c r="S95" s="33"/>
      <c r="T95" s="33"/>
      <c r="U95" s="92"/>
      <c r="V95" s="92"/>
      <c r="W95" s="92"/>
      <c r="X95" s="22"/>
      <c r="Y95" s="22"/>
      <c r="Z95" s="73"/>
      <c r="AA95" s="73"/>
      <c r="AB95" s="73"/>
      <c r="AC95" s="73"/>
      <c r="AD95" s="74"/>
      <c r="AE95" s="74"/>
      <c r="AF95" s="74"/>
      <c r="AG95" s="22"/>
      <c r="AH95" s="22"/>
      <c r="AI95" s="22"/>
    </row>
    <row r="96" spans="3:35" ht="15" customHeight="1">
      <c r="C96" s="33"/>
      <c r="D96" s="33"/>
      <c r="E96" s="33"/>
      <c r="F96" s="33"/>
      <c r="G96" s="33"/>
      <c r="H96" s="33"/>
      <c r="I96" s="33"/>
      <c r="J96" s="33"/>
      <c r="K96" s="33"/>
      <c r="L96" s="33"/>
      <c r="M96" s="33"/>
      <c r="N96" s="33"/>
      <c r="O96" s="33"/>
      <c r="P96" s="33"/>
      <c r="Q96" s="33"/>
      <c r="R96" s="33"/>
      <c r="S96" s="33"/>
      <c r="T96" s="33"/>
      <c r="U96" s="70"/>
      <c r="V96" s="70"/>
      <c r="W96" s="70"/>
      <c r="X96" s="22"/>
      <c r="Y96" s="22"/>
      <c r="Z96" s="22"/>
      <c r="AA96" s="22"/>
      <c r="AB96" s="22"/>
      <c r="AC96" s="22"/>
      <c r="AD96" s="22"/>
      <c r="AE96" s="22"/>
      <c r="AF96" s="22"/>
      <c r="AG96" s="22"/>
      <c r="AH96" s="22"/>
      <c r="AI96" s="22"/>
    </row>
    <row r="97" spans="3:35" ht="15" customHeight="1">
      <c r="C97" s="33"/>
      <c r="D97" s="33"/>
      <c r="E97" s="33"/>
      <c r="F97" s="33"/>
      <c r="G97" s="33"/>
      <c r="H97" s="33"/>
      <c r="I97" s="33"/>
      <c r="J97" s="33"/>
      <c r="K97" s="33"/>
      <c r="L97" s="33"/>
      <c r="M97" s="33"/>
      <c r="N97" s="33"/>
      <c r="O97" s="33"/>
      <c r="P97" s="33"/>
      <c r="Q97" s="33"/>
      <c r="R97" s="33"/>
      <c r="S97" s="33"/>
      <c r="T97" s="33"/>
      <c r="U97" s="86"/>
      <c r="V97" s="86"/>
      <c r="W97" s="86"/>
      <c r="X97" s="22"/>
      <c r="Y97" s="22"/>
      <c r="Z97" s="22"/>
      <c r="AA97" s="22"/>
      <c r="AB97" s="22"/>
      <c r="AC97" s="22"/>
      <c r="AD97" s="22"/>
      <c r="AE97" s="22"/>
      <c r="AF97" s="22"/>
      <c r="AG97" s="22"/>
      <c r="AH97" s="22"/>
      <c r="AI97" s="22"/>
    </row>
    <row r="98" spans="3:35" ht="15" customHeight="1">
      <c r="C98" s="33"/>
      <c r="D98" s="33"/>
      <c r="E98" s="33"/>
      <c r="F98" s="33"/>
      <c r="G98" s="33"/>
      <c r="H98" s="33"/>
      <c r="I98" s="33"/>
      <c r="J98" s="33"/>
      <c r="K98" s="33"/>
      <c r="L98" s="33"/>
      <c r="M98" s="33"/>
      <c r="N98" s="33"/>
      <c r="O98" s="33"/>
      <c r="P98" s="33"/>
      <c r="Q98" s="33"/>
      <c r="R98" s="33"/>
      <c r="S98" s="33"/>
      <c r="T98" s="33"/>
      <c r="U98" s="86"/>
      <c r="V98" s="86"/>
      <c r="W98" s="86"/>
      <c r="X98" s="22"/>
      <c r="Y98" s="22"/>
      <c r="Z98" s="22"/>
      <c r="AA98" s="22"/>
      <c r="AB98" s="22"/>
      <c r="AC98" s="22"/>
      <c r="AD98" s="22"/>
      <c r="AE98" s="22"/>
      <c r="AF98" s="22"/>
      <c r="AG98" s="22"/>
      <c r="AH98" s="22"/>
      <c r="AI98" s="22"/>
    </row>
    <row r="99" spans="3:35"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row r="100" spans="3:35"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3:35"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3:35" ht="15" customHeight="1">
      <c r="C102" s="43"/>
      <c r="D102" s="43"/>
      <c r="E102" s="43"/>
      <c r="F102" s="43"/>
      <c r="G102" s="43"/>
      <c r="H102" s="43"/>
      <c r="I102" s="43"/>
      <c r="J102" s="43"/>
      <c r="K102" s="43"/>
      <c r="L102" s="43"/>
      <c r="M102" s="43"/>
      <c r="N102" s="43"/>
      <c r="O102" s="43"/>
      <c r="P102" s="43"/>
      <c r="Q102" s="43"/>
      <c r="R102" s="43"/>
      <c r="S102" s="43"/>
      <c r="T102" s="43"/>
      <c r="U102" s="44"/>
      <c r="V102" s="44"/>
      <c r="W102" s="44"/>
      <c r="X102" s="22"/>
      <c r="Y102" s="22"/>
      <c r="Z102" s="22"/>
      <c r="AA102" s="22"/>
      <c r="AB102" s="22"/>
      <c r="AC102" s="22"/>
      <c r="AD102" s="22"/>
      <c r="AE102" s="22"/>
      <c r="AF102" s="22"/>
      <c r="AG102" s="22"/>
      <c r="AH102" s="22"/>
      <c r="AI102" s="22"/>
    </row>
    <row r="103" spans="3:35" ht="15" customHeight="1">
      <c r="C103" s="43"/>
      <c r="D103" s="43"/>
      <c r="E103" s="43"/>
      <c r="F103" s="43"/>
      <c r="G103" s="43"/>
      <c r="H103" s="43"/>
      <c r="I103" s="43"/>
      <c r="J103" s="43"/>
      <c r="K103" s="43"/>
      <c r="L103" s="43"/>
      <c r="M103" s="43"/>
      <c r="N103" s="43"/>
      <c r="O103" s="43"/>
      <c r="P103" s="43"/>
      <c r="Q103" s="43"/>
      <c r="R103" s="43"/>
      <c r="S103" s="43"/>
      <c r="T103" s="43"/>
      <c r="U103" s="44"/>
      <c r="V103" s="44"/>
      <c r="W103" s="44"/>
      <c r="X103" s="22"/>
      <c r="Y103" s="22"/>
      <c r="Z103" s="88"/>
      <c r="AA103" s="89"/>
      <c r="AB103" s="276"/>
      <c r="AC103" s="276"/>
      <c r="AD103" s="275"/>
      <c r="AE103" s="275"/>
      <c r="AF103" s="42"/>
      <c r="AG103" s="42"/>
      <c r="AH103" s="22"/>
      <c r="AI103" s="22"/>
    </row>
    <row r="104" spans="3:35" ht="15" customHeight="1">
      <c r="C104" s="33"/>
      <c r="D104" s="33"/>
      <c r="E104" s="33"/>
      <c r="F104" s="33"/>
      <c r="G104" s="33"/>
      <c r="H104" s="33"/>
      <c r="I104" s="33"/>
      <c r="J104" s="33"/>
      <c r="K104" s="33"/>
      <c r="L104" s="33"/>
      <c r="M104" s="33"/>
      <c r="N104" s="33"/>
      <c r="O104" s="33"/>
      <c r="P104" s="33"/>
      <c r="Q104" s="33"/>
      <c r="R104" s="33"/>
      <c r="S104" s="33"/>
      <c r="T104" s="33"/>
      <c r="U104" s="70"/>
      <c r="V104" s="70"/>
      <c r="W104" s="70"/>
      <c r="X104" s="22"/>
      <c r="Y104" s="22"/>
      <c r="Z104" s="22"/>
      <c r="AA104" s="22"/>
      <c r="AB104" s="22"/>
      <c r="AC104" s="22"/>
      <c r="AD104" s="60"/>
      <c r="AE104" s="60"/>
      <c r="AF104" s="76"/>
      <c r="AG104" s="90"/>
      <c r="AH104" s="22"/>
      <c r="AI104" s="22"/>
    </row>
    <row r="105" spans="3:35" ht="15" customHeight="1">
      <c r="C105" s="33"/>
      <c r="D105" s="33"/>
      <c r="E105" s="33"/>
      <c r="F105" s="33"/>
      <c r="G105" s="33"/>
      <c r="H105" s="33"/>
      <c r="I105" s="33"/>
      <c r="J105" s="33"/>
      <c r="K105" s="33"/>
      <c r="L105" s="33"/>
      <c r="M105" s="33"/>
      <c r="N105" s="33"/>
      <c r="O105" s="33"/>
      <c r="P105" s="33"/>
      <c r="Q105" s="33"/>
      <c r="R105" s="33"/>
      <c r="S105" s="33"/>
      <c r="T105" s="33"/>
      <c r="U105" s="70"/>
      <c r="V105" s="70"/>
      <c r="W105" s="70"/>
      <c r="X105" s="22"/>
      <c r="Y105" s="22"/>
      <c r="Z105" s="22"/>
      <c r="AA105" s="22"/>
      <c r="AB105" s="22"/>
      <c r="AC105" s="22"/>
      <c r="AD105" s="60"/>
      <c r="AE105" s="60"/>
      <c r="AF105" s="76"/>
      <c r="AG105" s="77"/>
      <c r="AH105" s="22"/>
      <c r="AI105" s="22"/>
    </row>
    <row r="106" spans="3:35" ht="15" customHeight="1">
      <c r="C106" s="33"/>
      <c r="D106" s="33"/>
      <c r="E106" s="33"/>
      <c r="F106" s="33"/>
      <c r="G106" s="33"/>
      <c r="H106" s="33"/>
      <c r="I106" s="33"/>
      <c r="J106" s="33"/>
      <c r="K106" s="33"/>
      <c r="L106" s="33"/>
      <c r="M106" s="33"/>
      <c r="N106" s="33"/>
      <c r="O106" s="33"/>
      <c r="P106" s="33"/>
      <c r="Q106" s="33"/>
      <c r="R106" s="33"/>
      <c r="S106" s="33"/>
      <c r="T106" s="33"/>
      <c r="U106" s="70"/>
      <c r="V106" s="70"/>
      <c r="W106" s="70"/>
      <c r="X106" s="22"/>
      <c r="Y106" s="22"/>
      <c r="Z106" s="78"/>
      <c r="AA106" s="58"/>
      <c r="AB106" s="79"/>
      <c r="AC106" s="79"/>
      <c r="AD106" s="58"/>
      <c r="AE106" s="59"/>
      <c r="AF106" s="59"/>
      <c r="AG106" s="60"/>
      <c r="AH106" s="22"/>
      <c r="AI106" s="22"/>
    </row>
    <row r="107" spans="3:35" ht="15" customHeight="1">
      <c r="C107" s="80"/>
      <c r="D107" s="80"/>
      <c r="E107" s="80"/>
      <c r="F107" s="80"/>
      <c r="G107" s="80"/>
      <c r="H107" s="80"/>
      <c r="I107" s="80"/>
      <c r="J107" s="80"/>
      <c r="K107" s="80"/>
      <c r="L107" s="80"/>
      <c r="M107" s="80"/>
      <c r="N107" s="80"/>
      <c r="O107" s="80"/>
      <c r="P107" s="80"/>
      <c r="Q107" s="80"/>
      <c r="R107" s="80"/>
      <c r="S107" s="80"/>
      <c r="T107" s="80"/>
      <c r="U107" s="42"/>
      <c r="V107" s="42"/>
      <c r="W107" s="42"/>
      <c r="X107" s="22"/>
      <c r="Y107" s="22"/>
      <c r="Z107" s="81"/>
      <c r="AA107" s="61"/>
      <c r="AB107" s="61"/>
      <c r="AC107" s="61"/>
      <c r="AD107" s="66"/>
      <c r="AE107" s="66"/>
      <c r="AF107" s="66"/>
      <c r="AG107" s="60"/>
      <c r="AH107" s="22"/>
      <c r="AI107" s="22"/>
    </row>
    <row r="108" spans="3:35" ht="15" customHeight="1">
      <c r="C108" s="33"/>
      <c r="D108" s="33"/>
      <c r="E108" s="33"/>
      <c r="F108" s="33"/>
      <c r="G108" s="33"/>
      <c r="H108" s="33"/>
      <c r="I108" s="33"/>
      <c r="J108" s="33"/>
      <c r="K108" s="33"/>
      <c r="L108" s="33"/>
      <c r="M108" s="33"/>
      <c r="N108" s="33"/>
      <c r="O108" s="33"/>
      <c r="P108" s="33"/>
      <c r="Q108" s="33"/>
      <c r="R108" s="33"/>
      <c r="S108" s="33"/>
      <c r="T108" s="33"/>
      <c r="U108" s="70"/>
      <c r="V108" s="70"/>
      <c r="W108" s="70"/>
      <c r="X108" s="22"/>
      <c r="Y108" s="22"/>
      <c r="Z108" s="81"/>
      <c r="AA108" s="61"/>
      <c r="AB108" s="61"/>
      <c r="AC108" s="61"/>
      <c r="AD108" s="66"/>
      <c r="AE108" s="66"/>
      <c r="AF108" s="66"/>
      <c r="AG108" s="60"/>
      <c r="AH108" s="22"/>
      <c r="AI108" s="22"/>
    </row>
    <row r="109" spans="3:35" ht="15" customHeight="1">
      <c r="C109" s="33"/>
      <c r="D109" s="33"/>
      <c r="E109" s="33"/>
      <c r="F109" s="33"/>
      <c r="G109" s="33"/>
      <c r="H109" s="33"/>
      <c r="I109" s="33"/>
      <c r="J109" s="33"/>
      <c r="K109" s="33"/>
      <c r="L109" s="33"/>
      <c r="M109" s="33"/>
      <c r="N109" s="33"/>
      <c r="O109" s="33"/>
      <c r="P109" s="33"/>
      <c r="Q109" s="33"/>
      <c r="R109" s="33"/>
      <c r="S109" s="33"/>
      <c r="T109" s="33"/>
      <c r="U109" s="70"/>
      <c r="V109" s="70"/>
      <c r="W109" s="70"/>
      <c r="X109" s="22"/>
      <c r="Y109" s="22"/>
      <c r="Z109" s="61"/>
      <c r="AA109" s="61"/>
      <c r="AB109" s="61"/>
      <c r="AC109" s="61"/>
      <c r="AD109" s="66"/>
      <c r="AE109" s="67"/>
      <c r="AF109" s="67"/>
      <c r="AG109" s="82"/>
      <c r="AH109" s="22"/>
      <c r="AI109" s="22"/>
    </row>
    <row r="110" spans="3:35" ht="15" customHeight="1">
      <c r="C110" s="33"/>
      <c r="D110" s="33"/>
      <c r="E110" s="33"/>
      <c r="F110" s="33"/>
      <c r="G110" s="33"/>
      <c r="H110" s="33"/>
      <c r="I110" s="33"/>
      <c r="J110" s="33"/>
      <c r="K110" s="33"/>
      <c r="L110" s="33"/>
      <c r="M110" s="33"/>
      <c r="N110" s="33"/>
      <c r="O110" s="33"/>
      <c r="P110" s="33"/>
      <c r="Q110" s="33"/>
      <c r="R110" s="33"/>
      <c r="S110" s="33"/>
      <c r="T110" s="33"/>
      <c r="U110" s="70"/>
      <c r="V110" s="70"/>
      <c r="W110" s="70"/>
      <c r="X110" s="22"/>
      <c r="Y110" s="22"/>
      <c r="Z110" s="61"/>
      <c r="AA110" s="61"/>
      <c r="AB110" s="61"/>
      <c r="AC110" s="61"/>
      <c r="AD110" s="66"/>
      <c r="AE110" s="67"/>
      <c r="AF110" s="67"/>
      <c r="AG110" s="60"/>
      <c r="AH110" s="22"/>
      <c r="AI110" s="22"/>
    </row>
    <row r="111" spans="3:35" ht="15" customHeight="1">
      <c r="C111" s="33"/>
      <c r="D111" s="33"/>
      <c r="E111" s="33"/>
      <c r="F111" s="33"/>
      <c r="G111" s="33"/>
      <c r="H111" s="33"/>
      <c r="I111" s="33"/>
      <c r="J111" s="33"/>
      <c r="K111" s="33"/>
      <c r="L111" s="33"/>
      <c r="M111" s="33"/>
      <c r="N111" s="33"/>
      <c r="O111" s="33"/>
      <c r="P111" s="33"/>
      <c r="Q111" s="33"/>
      <c r="R111" s="33"/>
      <c r="S111" s="33"/>
      <c r="T111" s="33"/>
      <c r="U111" s="70"/>
      <c r="V111" s="70"/>
      <c r="W111" s="70"/>
      <c r="X111" s="22"/>
      <c r="Y111" s="22"/>
      <c r="Z111" s="61"/>
      <c r="AA111" s="61"/>
      <c r="AB111" s="61"/>
      <c r="AC111" s="61"/>
      <c r="AD111" s="66"/>
      <c r="AE111" s="67"/>
      <c r="AF111" s="67"/>
      <c r="AG111" s="60"/>
      <c r="AH111" s="22"/>
      <c r="AI111" s="22"/>
    </row>
    <row r="112" spans="3:35" ht="15" customHeight="1">
      <c r="C112" s="33"/>
      <c r="D112" s="33"/>
      <c r="E112" s="33"/>
      <c r="F112" s="33"/>
      <c r="G112" s="33"/>
      <c r="H112" s="33"/>
      <c r="I112" s="33"/>
      <c r="J112" s="33"/>
      <c r="K112" s="33"/>
      <c r="L112" s="33"/>
      <c r="M112" s="33"/>
      <c r="N112" s="33"/>
      <c r="O112" s="33"/>
      <c r="P112" s="33"/>
      <c r="Q112" s="33"/>
      <c r="R112" s="33"/>
      <c r="S112" s="33"/>
      <c r="T112" s="33"/>
      <c r="U112" s="70"/>
      <c r="V112" s="70"/>
      <c r="W112" s="83"/>
      <c r="X112" s="22"/>
      <c r="Y112" s="22"/>
      <c r="Z112" s="61"/>
      <c r="AA112" s="61"/>
      <c r="AB112" s="61"/>
      <c r="AC112" s="61"/>
      <c r="AD112" s="66"/>
      <c r="AE112" s="67"/>
      <c r="AF112" s="67"/>
      <c r="AG112" s="69"/>
      <c r="AH112" s="22"/>
      <c r="AI112" s="22"/>
    </row>
    <row r="113" spans="3:35" ht="15" customHeight="1">
      <c r="C113" s="80"/>
      <c r="D113" s="80"/>
      <c r="E113" s="80"/>
      <c r="F113" s="80"/>
      <c r="G113" s="80"/>
      <c r="H113" s="80"/>
      <c r="I113" s="80"/>
      <c r="J113" s="80"/>
      <c r="K113" s="80"/>
      <c r="L113" s="80"/>
      <c r="M113" s="80"/>
      <c r="N113" s="80"/>
      <c r="O113" s="80"/>
      <c r="P113" s="80"/>
      <c r="Q113" s="80"/>
      <c r="R113" s="80"/>
      <c r="S113" s="80"/>
      <c r="T113" s="80"/>
      <c r="U113" s="42"/>
      <c r="V113" s="42"/>
      <c r="W113" s="42"/>
      <c r="X113" s="22"/>
      <c r="Y113" s="22"/>
      <c r="Z113" s="61"/>
      <c r="AA113" s="61"/>
      <c r="AB113" s="61"/>
      <c r="AC113" s="61"/>
      <c r="AD113" s="66"/>
      <c r="AE113" s="67"/>
      <c r="AF113" s="67"/>
      <c r="AG113" s="60"/>
      <c r="AH113" s="22"/>
      <c r="AI113" s="22"/>
    </row>
    <row r="114" spans="3:35" ht="15" customHeight="1">
      <c r="C114" s="33"/>
      <c r="D114" s="33"/>
      <c r="E114" s="33"/>
      <c r="F114" s="33"/>
      <c r="G114" s="33"/>
      <c r="H114" s="33"/>
      <c r="I114" s="33"/>
      <c r="J114" s="33"/>
      <c r="K114" s="33"/>
      <c r="L114" s="33"/>
      <c r="M114" s="33"/>
      <c r="N114" s="33"/>
      <c r="O114" s="33"/>
      <c r="P114" s="33"/>
      <c r="Q114" s="33"/>
      <c r="R114" s="33"/>
      <c r="S114" s="33"/>
      <c r="T114" s="33"/>
      <c r="U114" s="42"/>
      <c r="V114" s="42"/>
      <c r="W114" s="42"/>
      <c r="X114" s="22"/>
      <c r="Y114" s="22"/>
      <c r="Z114" s="61"/>
      <c r="AA114" s="61"/>
      <c r="AB114" s="61"/>
      <c r="AC114" s="61"/>
      <c r="AD114" s="66"/>
      <c r="AE114" s="67"/>
      <c r="AF114" s="67"/>
      <c r="AG114" s="66"/>
      <c r="AH114" s="22"/>
      <c r="AI114" s="22"/>
    </row>
    <row r="115" spans="3:35" ht="15" customHeight="1">
      <c r="C115" s="33"/>
      <c r="D115" s="33"/>
      <c r="E115" s="33"/>
      <c r="F115" s="33"/>
      <c r="G115" s="33"/>
      <c r="H115" s="33"/>
      <c r="I115" s="33"/>
      <c r="J115" s="33"/>
      <c r="K115" s="33"/>
      <c r="L115" s="33"/>
      <c r="M115" s="33"/>
      <c r="N115" s="33"/>
      <c r="O115" s="33"/>
      <c r="P115" s="33"/>
      <c r="Q115" s="33"/>
      <c r="R115" s="33"/>
      <c r="S115" s="33"/>
      <c r="T115" s="33"/>
      <c r="U115" s="70"/>
      <c r="V115" s="70"/>
      <c r="W115" s="70"/>
      <c r="X115" s="22"/>
      <c r="Y115" s="22"/>
      <c r="Z115" s="84"/>
      <c r="AA115" s="61"/>
      <c r="AB115" s="61"/>
      <c r="AC115" s="61"/>
      <c r="AD115" s="66"/>
      <c r="AE115" s="67"/>
      <c r="AF115" s="67"/>
      <c r="AG115" s="60"/>
      <c r="AH115" s="22"/>
      <c r="AI115" s="22"/>
    </row>
    <row r="116" spans="3:35" ht="15" customHeight="1">
      <c r="C116" s="80"/>
      <c r="D116" s="80"/>
      <c r="E116" s="80"/>
      <c r="F116" s="80"/>
      <c r="G116" s="80"/>
      <c r="H116" s="80"/>
      <c r="I116" s="80"/>
      <c r="J116" s="80"/>
      <c r="K116" s="80"/>
      <c r="L116" s="80"/>
      <c r="M116" s="80"/>
      <c r="N116" s="80"/>
      <c r="O116" s="80"/>
      <c r="P116" s="80"/>
      <c r="Q116" s="80"/>
      <c r="R116" s="80"/>
      <c r="S116" s="80"/>
      <c r="T116" s="80"/>
      <c r="U116" s="42"/>
      <c r="V116" s="42"/>
      <c r="W116" s="42"/>
      <c r="X116" s="22"/>
      <c r="Y116" s="22"/>
      <c r="Z116" s="81"/>
      <c r="AA116" s="61"/>
      <c r="AB116" s="61"/>
      <c r="AC116" s="61"/>
      <c r="AD116" s="66"/>
      <c r="AE116" s="67"/>
      <c r="AF116" s="67"/>
      <c r="AG116" s="60"/>
      <c r="AH116" s="22"/>
      <c r="AI116" s="22"/>
    </row>
    <row r="117" spans="3:35" ht="15" customHeight="1">
      <c r="C117" s="33"/>
      <c r="D117" s="33"/>
      <c r="E117" s="33"/>
      <c r="F117" s="33"/>
      <c r="G117" s="33"/>
      <c r="H117" s="33"/>
      <c r="I117" s="33"/>
      <c r="J117" s="33"/>
      <c r="K117" s="33"/>
      <c r="L117" s="33"/>
      <c r="M117" s="33"/>
      <c r="N117" s="33"/>
      <c r="O117" s="33"/>
      <c r="P117" s="33"/>
      <c r="Q117" s="33"/>
      <c r="R117" s="33"/>
      <c r="S117" s="33"/>
      <c r="T117" s="33"/>
      <c r="U117" s="86"/>
      <c r="V117" s="86"/>
      <c r="W117" s="86"/>
      <c r="X117" s="22"/>
      <c r="Y117" s="22"/>
      <c r="Z117" s="61"/>
      <c r="AA117" s="61"/>
      <c r="AB117" s="61"/>
      <c r="AC117" s="66"/>
      <c r="AD117" s="87"/>
      <c r="AE117" s="66"/>
      <c r="AF117" s="66"/>
      <c r="AG117" s="60"/>
      <c r="AH117" s="22"/>
      <c r="AI117" s="22"/>
    </row>
    <row r="118" spans="3:35" ht="15" customHeight="1">
      <c r="C118" s="33"/>
      <c r="D118" s="33"/>
      <c r="E118" s="33"/>
      <c r="F118" s="33"/>
      <c r="G118" s="33"/>
      <c r="H118" s="33"/>
      <c r="I118" s="33"/>
      <c r="J118" s="33"/>
      <c r="K118" s="33"/>
      <c r="L118" s="33"/>
      <c r="M118" s="33"/>
      <c r="N118" s="33"/>
      <c r="O118" s="33"/>
      <c r="P118" s="33"/>
      <c r="Q118" s="33"/>
      <c r="R118" s="33"/>
      <c r="S118" s="33"/>
      <c r="T118" s="33"/>
      <c r="U118" s="86"/>
      <c r="V118" s="86"/>
      <c r="W118" s="86"/>
      <c r="X118" s="22"/>
      <c r="Y118" s="22"/>
      <c r="Z118" s="73"/>
      <c r="AA118" s="73"/>
      <c r="AB118" s="73"/>
      <c r="AC118" s="73"/>
      <c r="AD118" s="74"/>
      <c r="AE118" s="74"/>
      <c r="AF118" s="74"/>
      <c r="AG118" s="60"/>
      <c r="AH118" s="22"/>
      <c r="AI118" s="22"/>
    </row>
    <row r="119" spans="3:35" ht="15" customHeight="1">
      <c r="C119" s="43"/>
      <c r="D119" s="43"/>
      <c r="E119" s="43"/>
      <c r="F119" s="43"/>
      <c r="G119" s="43"/>
      <c r="H119" s="43"/>
      <c r="I119" s="43"/>
      <c r="J119" s="43"/>
      <c r="K119" s="43"/>
      <c r="L119" s="43"/>
      <c r="M119" s="43"/>
      <c r="N119" s="43"/>
      <c r="O119" s="43"/>
      <c r="P119" s="43"/>
      <c r="Q119" s="43"/>
      <c r="R119" s="43"/>
      <c r="S119" s="43"/>
      <c r="T119" s="43"/>
      <c r="U119" s="44"/>
      <c r="V119" s="44"/>
      <c r="W119" s="44"/>
      <c r="X119" s="22"/>
      <c r="Y119" s="22"/>
      <c r="Z119" s="73"/>
      <c r="AA119" s="22"/>
      <c r="AB119" s="91"/>
      <c r="AC119" s="73"/>
      <c r="AD119" s="74"/>
      <c r="AE119" s="74"/>
      <c r="AF119" s="74"/>
      <c r="AG119" s="60"/>
      <c r="AH119" s="22"/>
      <c r="AI119" s="22"/>
    </row>
    <row r="120" spans="3:35" ht="15" customHeight="1">
      <c r="C120" s="43"/>
      <c r="D120" s="43"/>
      <c r="E120" s="43"/>
      <c r="F120" s="43"/>
      <c r="G120" s="43"/>
      <c r="H120" s="43"/>
      <c r="I120" s="43"/>
      <c r="J120" s="43"/>
      <c r="K120" s="43"/>
      <c r="L120" s="43"/>
      <c r="M120" s="43"/>
      <c r="N120" s="43"/>
      <c r="O120" s="43"/>
      <c r="P120" s="43"/>
      <c r="Q120" s="43"/>
      <c r="R120" s="43"/>
      <c r="S120" s="43"/>
      <c r="T120" s="43"/>
      <c r="U120" s="44"/>
      <c r="V120" s="44"/>
      <c r="W120" s="44"/>
      <c r="X120" s="22"/>
      <c r="Y120" s="22"/>
      <c r="Z120" s="73"/>
      <c r="AA120" s="61"/>
      <c r="AB120" s="73"/>
      <c r="AC120" s="73"/>
      <c r="AD120" s="74"/>
      <c r="AE120" s="74"/>
      <c r="AF120" s="74"/>
      <c r="AG120" s="60"/>
      <c r="AH120" s="22"/>
      <c r="AI120" s="22"/>
    </row>
    <row r="121" spans="3:35" ht="15" customHeight="1">
      <c r="C121" s="33"/>
      <c r="D121" s="33"/>
      <c r="E121" s="33"/>
      <c r="F121" s="33"/>
      <c r="G121" s="33"/>
      <c r="H121" s="33"/>
      <c r="I121" s="33"/>
      <c r="J121" s="33"/>
      <c r="K121" s="33"/>
      <c r="L121" s="33"/>
      <c r="M121" s="33"/>
      <c r="N121" s="33"/>
      <c r="O121" s="33"/>
      <c r="P121" s="33"/>
      <c r="Q121" s="33"/>
      <c r="R121" s="33"/>
      <c r="S121" s="33"/>
      <c r="T121" s="33"/>
      <c r="U121" s="92"/>
      <c r="V121" s="92"/>
      <c r="W121" s="92"/>
      <c r="X121" s="22"/>
      <c r="Y121" s="22"/>
      <c r="Z121" s="73"/>
      <c r="AA121" s="73"/>
      <c r="AB121" s="73"/>
      <c r="AC121" s="73"/>
      <c r="AD121" s="74"/>
      <c r="AE121" s="74"/>
      <c r="AF121" s="74"/>
      <c r="AG121" s="60"/>
      <c r="AH121" s="22"/>
      <c r="AI121" s="22"/>
    </row>
    <row r="122" spans="3:35" ht="15" customHeight="1">
      <c r="C122" s="33"/>
      <c r="D122" s="33"/>
      <c r="E122" s="33"/>
      <c r="F122" s="33"/>
      <c r="G122" s="33"/>
      <c r="H122" s="33"/>
      <c r="I122" s="33"/>
      <c r="J122" s="33"/>
      <c r="K122" s="33"/>
      <c r="L122" s="33"/>
      <c r="M122" s="33"/>
      <c r="N122" s="33"/>
      <c r="O122" s="33"/>
      <c r="P122" s="33"/>
      <c r="Q122" s="33"/>
      <c r="R122" s="33"/>
      <c r="S122" s="33"/>
      <c r="T122" s="33"/>
      <c r="U122" s="92"/>
      <c r="V122" s="92"/>
      <c r="W122" s="92"/>
      <c r="X122" s="22"/>
      <c r="Y122" s="22"/>
      <c r="Z122" s="73"/>
      <c r="AA122" s="73"/>
      <c r="AB122" s="73"/>
      <c r="AC122" s="73"/>
      <c r="AD122" s="74"/>
      <c r="AE122" s="74"/>
      <c r="AF122" s="74"/>
      <c r="AG122" s="60"/>
      <c r="AH122" s="22"/>
      <c r="AI122" s="22"/>
    </row>
    <row r="123" spans="3:35" ht="15" customHeight="1">
      <c r="C123" s="33"/>
      <c r="D123" s="33"/>
      <c r="E123" s="33"/>
      <c r="F123" s="33"/>
      <c r="G123" s="33"/>
      <c r="H123" s="33"/>
      <c r="I123" s="33"/>
      <c r="J123" s="33"/>
      <c r="K123" s="33"/>
      <c r="L123" s="33"/>
      <c r="M123" s="33"/>
      <c r="N123" s="33"/>
      <c r="O123" s="33"/>
      <c r="P123" s="33"/>
      <c r="Q123" s="33"/>
      <c r="R123" s="33"/>
      <c r="S123" s="33"/>
      <c r="T123" s="33"/>
      <c r="U123" s="70"/>
      <c r="V123" s="70"/>
      <c r="W123" s="70"/>
      <c r="X123" s="22"/>
      <c r="Y123" s="22"/>
      <c r="Z123" s="73"/>
      <c r="AA123" s="73"/>
      <c r="AB123" s="73"/>
      <c r="AC123" s="73"/>
      <c r="AD123" s="74"/>
      <c r="AE123" s="74"/>
      <c r="AF123" s="74"/>
      <c r="AG123" s="22"/>
      <c r="AH123" s="22"/>
      <c r="AI123" s="22"/>
    </row>
    <row r="124" spans="3:35" ht="15" customHeight="1">
      <c r="C124" s="33"/>
      <c r="D124" s="33"/>
      <c r="E124" s="33"/>
      <c r="F124" s="33"/>
      <c r="G124" s="33"/>
      <c r="H124" s="33"/>
      <c r="I124" s="33"/>
      <c r="J124" s="33"/>
      <c r="K124" s="33"/>
      <c r="L124" s="33"/>
      <c r="M124" s="33"/>
      <c r="N124" s="33"/>
      <c r="O124" s="33"/>
      <c r="P124" s="33"/>
      <c r="Q124" s="33"/>
      <c r="R124" s="33"/>
      <c r="S124" s="33"/>
      <c r="T124" s="33"/>
      <c r="U124" s="92"/>
      <c r="V124" s="92"/>
      <c r="W124" s="92"/>
      <c r="X124" s="22"/>
      <c r="Y124" s="22"/>
      <c r="Z124" s="73"/>
      <c r="AA124" s="73"/>
      <c r="AB124" s="73"/>
      <c r="AC124" s="73"/>
      <c r="AD124" s="74"/>
      <c r="AE124" s="74"/>
      <c r="AF124" s="74"/>
      <c r="AG124" s="22"/>
      <c r="AH124" s="22"/>
      <c r="AI124" s="22"/>
    </row>
    <row r="125" spans="3:35" ht="15" customHeight="1">
      <c r="C125" s="33"/>
      <c r="D125" s="33"/>
      <c r="E125" s="33"/>
      <c r="F125" s="33"/>
      <c r="G125" s="33"/>
      <c r="H125" s="33"/>
      <c r="I125" s="33"/>
      <c r="J125" s="33"/>
      <c r="K125" s="33"/>
      <c r="L125" s="33"/>
      <c r="M125" s="33"/>
      <c r="N125" s="33"/>
      <c r="O125" s="33"/>
      <c r="P125" s="33"/>
      <c r="Q125" s="33"/>
      <c r="R125" s="33"/>
      <c r="S125" s="33"/>
      <c r="T125" s="33"/>
      <c r="U125" s="70"/>
      <c r="V125" s="70"/>
      <c r="W125" s="70"/>
      <c r="X125" s="22"/>
      <c r="Y125" s="22"/>
      <c r="Z125" s="22"/>
      <c r="AA125" s="22"/>
      <c r="AB125" s="22"/>
      <c r="AC125" s="22"/>
      <c r="AD125" s="22"/>
      <c r="AE125" s="22"/>
      <c r="AF125" s="22"/>
      <c r="AG125" s="22"/>
      <c r="AH125" s="22"/>
      <c r="AI125" s="22"/>
    </row>
    <row r="126" spans="3:35" ht="15" customHeight="1">
      <c r="C126" s="33"/>
      <c r="D126" s="33"/>
      <c r="E126" s="33"/>
      <c r="F126" s="33"/>
      <c r="G126" s="33"/>
      <c r="H126" s="33"/>
      <c r="I126" s="33"/>
      <c r="J126" s="33"/>
      <c r="K126" s="33"/>
      <c r="L126" s="33"/>
      <c r="M126" s="33"/>
      <c r="N126" s="33"/>
      <c r="O126" s="33"/>
      <c r="P126" s="33"/>
      <c r="Q126" s="33"/>
      <c r="R126" s="33"/>
      <c r="S126" s="33"/>
      <c r="T126" s="33"/>
      <c r="U126" s="86"/>
      <c r="V126" s="86"/>
      <c r="W126" s="86"/>
      <c r="X126" s="22"/>
      <c r="Y126" s="22"/>
      <c r="Z126" s="22"/>
      <c r="AA126" s="22"/>
      <c r="AB126" s="22"/>
      <c r="AC126" s="22"/>
      <c r="AD126" s="22"/>
      <c r="AE126" s="22"/>
      <c r="AF126" s="22"/>
      <c r="AG126" s="22"/>
      <c r="AH126" s="22"/>
      <c r="AI126" s="22"/>
    </row>
    <row r="127" spans="3:35" ht="15" customHeight="1">
      <c r="C127" s="33"/>
      <c r="D127" s="33"/>
      <c r="E127" s="33"/>
      <c r="F127" s="33"/>
      <c r="G127" s="33"/>
      <c r="H127" s="33"/>
      <c r="I127" s="33"/>
      <c r="J127" s="33"/>
      <c r="K127" s="33"/>
      <c r="L127" s="33"/>
      <c r="M127" s="33"/>
      <c r="N127" s="33"/>
      <c r="O127" s="33"/>
      <c r="P127" s="33"/>
      <c r="Q127" s="33"/>
      <c r="R127" s="33"/>
      <c r="S127" s="33"/>
      <c r="T127" s="33"/>
      <c r="U127" s="86"/>
      <c r="V127" s="86"/>
      <c r="W127" s="86"/>
      <c r="X127" s="22"/>
      <c r="Y127" s="22"/>
      <c r="Z127" s="22"/>
      <c r="AA127" s="22"/>
      <c r="AB127" s="22"/>
      <c r="AC127" s="22"/>
      <c r="AD127" s="22"/>
      <c r="AE127" s="22"/>
      <c r="AF127" s="22"/>
      <c r="AG127" s="22"/>
      <c r="AH127" s="22"/>
      <c r="AI127" s="22"/>
    </row>
    <row r="128" spans="3:35"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row>
    <row r="129" spans="3:35"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row>
    <row r="130" spans="3:35"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row>
    <row r="131" spans="3:35" ht="15" customHeight="1">
      <c r="C131" s="43"/>
      <c r="D131" s="43"/>
      <c r="E131" s="43"/>
      <c r="F131" s="43"/>
      <c r="G131" s="43"/>
      <c r="H131" s="43"/>
      <c r="I131" s="43"/>
      <c r="J131" s="43"/>
      <c r="K131" s="43"/>
      <c r="L131" s="43"/>
      <c r="M131" s="43"/>
      <c r="N131" s="43"/>
      <c r="O131" s="43"/>
      <c r="P131" s="43"/>
      <c r="Q131" s="43"/>
      <c r="R131" s="43"/>
      <c r="S131" s="43"/>
      <c r="T131" s="43"/>
      <c r="U131" s="44"/>
      <c r="V131" s="44"/>
      <c r="W131" s="44"/>
      <c r="X131" s="22"/>
      <c r="Y131" s="22"/>
      <c r="Z131" s="22"/>
      <c r="AA131" s="22"/>
      <c r="AB131" s="22"/>
      <c r="AC131" s="22"/>
      <c r="AD131" s="22"/>
      <c r="AE131" s="22"/>
      <c r="AF131" s="22"/>
      <c r="AG131" s="22"/>
      <c r="AH131" s="22"/>
      <c r="AI131" s="22"/>
    </row>
    <row r="132" spans="3:35" ht="15" customHeight="1">
      <c r="C132" s="43"/>
      <c r="D132" s="43"/>
      <c r="E132" s="43"/>
      <c r="F132" s="43"/>
      <c r="G132" s="43"/>
      <c r="H132" s="43"/>
      <c r="I132" s="43"/>
      <c r="J132" s="43"/>
      <c r="K132" s="43"/>
      <c r="L132" s="43"/>
      <c r="M132" s="43"/>
      <c r="N132" s="43"/>
      <c r="O132" s="43"/>
      <c r="P132" s="43"/>
      <c r="Q132" s="43"/>
      <c r="R132" s="43"/>
      <c r="S132" s="43"/>
      <c r="T132" s="43"/>
      <c r="U132" s="44"/>
      <c r="V132" s="44"/>
      <c r="W132" s="44"/>
      <c r="X132" s="22"/>
      <c r="Y132" s="22"/>
      <c r="Z132" s="88"/>
      <c r="AA132" s="89"/>
      <c r="AB132" s="276"/>
      <c r="AC132" s="276"/>
      <c r="AD132" s="275"/>
      <c r="AE132" s="275"/>
      <c r="AF132" s="42"/>
      <c r="AG132" s="42"/>
      <c r="AH132" s="22"/>
      <c r="AI132" s="22"/>
    </row>
    <row r="133" spans="3:35" ht="15" customHeight="1">
      <c r="C133" s="33"/>
      <c r="D133" s="33"/>
      <c r="E133" s="33"/>
      <c r="F133" s="33"/>
      <c r="G133" s="33"/>
      <c r="H133" s="33"/>
      <c r="I133" s="33"/>
      <c r="J133" s="33"/>
      <c r="K133" s="33"/>
      <c r="L133" s="33"/>
      <c r="M133" s="33"/>
      <c r="N133" s="33"/>
      <c r="O133" s="33"/>
      <c r="P133" s="33"/>
      <c r="Q133" s="33"/>
      <c r="R133" s="33"/>
      <c r="S133" s="33"/>
      <c r="T133" s="33"/>
      <c r="U133" s="70"/>
      <c r="V133" s="70"/>
      <c r="W133" s="70"/>
      <c r="X133" s="22"/>
      <c r="Y133" s="22"/>
      <c r="Z133" s="22"/>
      <c r="AA133" s="22"/>
      <c r="AB133" s="22"/>
      <c r="AC133" s="22"/>
      <c r="AD133" s="60"/>
      <c r="AE133" s="60"/>
      <c r="AF133" s="76"/>
      <c r="AG133" s="90"/>
      <c r="AH133" s="22"/>
      <c r="AI133" s="22"/>
    </row>
    <row r="134" spans="3:35" ht="15" customHeight="1">
      <c r="C134" s="33"/>
      <c r="D134" s="33"/>
      <c r="E134" s="33"/>
      <c r="F134" s="33"/>
      <c r="G134" s="33"/>
      <c r="H134" s="33"/>
      <c r="I134" s="33"/>
      <c r="J134" s="33"/>
      <c r="K134" s="33"/>
      <c r="L134" s="33"/>
      <c r="M134" s="33"/>
      <c r="N134" s="33"/>
      <c r="O134" s="33"/>
      <c r="P134" s="33"/>
      <c r="Q134" s="33"/>
      <c r="R134" s="33"/>
      <c r="S134" s="33"/>
      <c r="T134" s="33"/>
      <c r="U134" s="70"/>
      <c r="V134" s="70"/>
      <c r="W134" s="70"/>
      <c r="X134" s="22"/>
      <c r="Y134" s="22"/>
      <c r="Z134" s="22"/>
      <c r="AA134" s="22"/>
      <c r="AB134" s="22"/>
      <c r="AC134" s="22"/>
      <c r="AD134" s="60"/>
      <c r="AE134" s="60"/>
      <c r="AF134" s="76"/>
      <c r="AG134" s="77"/>
      <c r="AH134" s="22"/>
      <c r="AI134" s="22"/>
    </row>
    <row r="135" spans="3:35" ht="15" customHeight="1">
      <c r="C135" s="33"/>
      <c r="D135" s="33"/>
      <c r="E135" s="33"/>
      <c r="F135" s="33"/>
      <c r="G135" s="33"/>
      <c r="H135" s="33"/>
      <c r="I135" s="33"/>
      <c r="J135" s="33"/>
      <c r="K135" s="33"/>
      <c r="L135" s="33"/>
      <c r="M135" s="33"/>
      <c r="N135" s="33"/>
      <c r="O135" s="33"/>
      <c r="P135" s="33"/>
      <c r="Q135" s="33"/>
      <c r="R135" s="33"/>
      <c r="S135" s="33"/>
      <c r="T135" s="33"/>
      <c r="U135" s="70"/>
      <c r="V135" s="70"/>
      <c r="W135" s="70"/>
      <c r="X135" s="22"/>
      <c r="Y135" s="22"/>
      <c r="Z135" s="78"/>
      <c r="AA135" s="58"/>
      <c r="AB135" s="79"/>
      <c r="AC135" s="79"/>
      <c r="AD135" s="58"/>
      <c r="AE135" s="59"/>
      <c r="AF135" s="59"/>
      <c r="AG135" s="60"/>
      <c r="AH135" s="22"/>
      <c r="AI135" s="22"/>
    </row>
    <row r="136" spans="3:35" ht="15" customHeight="1">
      <c r="C136" s="80"/>
      <c r="D136" s="80"/>
      <c r="E136" s="80"/>
      <c r="F136" s="80"/>
      <c r="G136" s="80"/>
      <c r="H136" s="80"/>
      <c r="I136" s="80"/>
      <c r="J136" s="80"/>
      <c r="K136" s="80"/>
      <c r="L136" s="80"/>
      <c r="M136" s="80"/>
      <c r="N136" s="80"/>
      <c r="O136" s="80"/>
      <c r="P136" s="80"/>
      <c r="Q136" s="80"/>
      <c r="R136" s="80"/>
      <c r="S136" s="80"/>
      <c r="T136" s="80"/>
      <c r="U136" s="42"/>
      <c r="V136" s="42"/>
      <c r="W136" s="42"/>
      <c r="X136" s="22"/>
      <c r="Y136" s="22"/>
      <c r="Z136" s="81"/>
      <c r="AA136" s="61"/>
      <c r="AB136" s="61"/>
      <c r="AC136" s="61"/>
      <c r="AD136" s="66"/>
      <c r="AE136" s="66"/>
      <c r="AF136" s="66"/>
      <c r="AG136" s="60"/>
      <c r="AH136" s="22"/>
      <c r="AI136" s="22"/>
    </row>
    <row r="137" spans="3:35" ht="15" customHeight="1">
      <c r="C137" s="33"/>
      <c r="D137" s="33"/>
      <c r="E137" s="33"/>
      <c r="F137" s="33"/>
      <c r="G137" s="33"/>
      <c r="H137" s="33"/>
      <c r="I137" s="33"/>
      <c r="J137" s="33"/>
      <c r="K137" s="33"/>
      <c r="L137" s="33"/>
      <c r="M137" s="33"/>
      <c r="N137" s="33"/>
      <c r="O137" s="33"/>
      <c r="P137" s="33"/>
      <c r="Q137" s="33"/>
      <c r="R137" s="33"/>
      <c r="S137" s="33"/>
      <c r="T137" s="33"/>
      <c r="U137" s="70"/>
      <c r="V137" s="70"/>
      <c r="W137" s="70"/>
      <c r="X137" s="22"/>
      <c r="Y137" s="22"/>
      <c r="Z137" s="81"/>
      <c r="AA137" s="61"/>
      <c r="AB137" s="61"/>
      <c r="AC137" s="61"/>
      <c r="AD137" s="66"/>
      <c r="AE137" s="66"/>
      <c r="AF137" s="66"/>
      <c r="AG137" s="60"/>
      <c r="AH137" s="22"/>
      <c r="AI137" s="22"/>
    </row>
    <row r="138" spans="3:35" ht="15" customHeight="1">
      <c r="C138" s="33"/>
      <c r="D138" s="33"/>
      <c r="E138" s="33"/>
      <c r="F138" s="33"/>
      <c r="G138" s="33"/>
      <c r="H138" s="33"/>
      <c r="I138" s="33"/>
      <c r="J138" s="33"/>
      <c r="K138" s="33"/>
      <c r="L138" s="33"/>
      <c r="M138" s="33"/>
      <c r="N138" s="33"/>
      <c r="O138" s="33"/>
      <c r="P138" s="33"/>
      <c r="Q138" s="33"/>
      <c r="R138" s="33"/>
      <c r="S138" s="33"/>
      <c r="T138" s="33"/>
      <c r="U138" s="70"/>
      <c r="V138" s="70"/>
      <c r="W138" s="70"/>
      <c r="X138" s="22"/>
      <c r="Y138" s="22"/>
      <c r="Z138" s="61"/>
      <c r="AA138" s="61"/>
      <c r="AB138" s="61"/>
      <c r="AC138" s="61"/>
      <c r="AD138" s="66"/>
      <c r="AE138" s="67"/>
      <c r="AF138" s="67"/>
      <c r="AG138" s="82"/>
      <c r="AH138" s="22"/>
      <c r="AI138" s="22"/>
    </row>
  </sheetData>
  <sheetProtection/>
  <mergeCells count="10">
    <mergeCell ref="AD6:AE6"/>
    <mergeCell ref="AF6:AG6"/>
    <mergeCell ref="AB45:AC45"/>
    <mergeCell ref="AD45:AE45"/>
    <mergeCell ref="AB132:AC132"/>
    <mergeCell ref="AD132:AE132"/>
    <mergeCell ref="AB74:AC74"/>
    <mergeCell ref="AD74:AE74"/>
    <mergeCell ref="AB103:AC103"/>
    <mergeCell ref="AD103:AE103"/>
  </mergeCells>
  <conditionalFormatting sqref="B114:B118 B95:B96 B102:B106 B56:B64 B66:B67 B73:B77 B85:B93">
    <cfRule type="cellIs" priority="1" dxfId="0" operator="notEqual" stopIfTrue="1">
      <formula>"OK"</formula>
    </cfRule>
  </conditionalFormatting>
  <conditionalFormatting sqref="AJ8:AL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ignoredErrors>
    <ignoredError sqref="S6:AC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
      <c r="D1" s="15" t="s">
        <v>41</v>
      </c>
    </row>
    <row r="2" spans="4:7" ht="21" customHeight="1">
      <c r="D2" s="3" t="s">
        <v>29</v>
      </c>
      <c r="E2" s="4" t="s">
        <v>30</v>
      </c>
      <c r="F2" s="4" t="s">
        <v>31</v>
      </c>
      <c r="G2" s="5" t="s">
        <v>32</v>
      </c>
    </row>
    <row r="3" spans="4:7" ht="12">
      <c r="D3" s="6">
        <v>37672</v>
      </c>
      <c r="E3" s="7" t="s">
        <v>33</v>
      </c>
      <c r="F3" s="7" t="s">
        <v>34</v>
      </c>
      <c r="G3" s="8"/>
    </row>
    <row r="4" spans="4:7" ht="12">
      <c r="D4" s="9">
        <v>37672</v>
      </c>
      <c r="E4" s="10" t="s">
        <v>38</v>
      </c>
      <c r="F4" s="10" t="s">
        <v>34</v>
      </c>
      <c r="G4" s="11" t="s">
        <v>72</v>
      </c>
    </row>
    <row r="5" spans="4:7" ht="12">
      <c r="D5" s="6">
        <v>37672</v>
      </c>
      <c r="E5" s="7" t="s">
        <v>40</v>
      </c>
      <c r="F5" s="7" t="s">
        <v>34</v>
      </c>
      <c r="G5" s="12" t="s">
        <v>72</v>
      </c>
    </row>
    <row r="6" spans="4:7" ht="12">
      <c r="D6" s="9">
        <v>37673</v>
      </c>
      <c r="E6" s="10" t="s">
        <v>40</v>
      </c>
      <c r="F6" s="10" t="s">
        <v>34</v>
      </c>
      <c r="G6" s="11" t="s">
        <v>72</v>
      </c>
    </row>
    <row r="7" spans="4:7" ht="12">
      <c r="D7" s="6">
        <v>37676</v>
      </c>
      <c r="E7" s="7" t="s">
        <v>53</v>
      </c>
      <c r="F7" s="7" t="s">
        <v>42</v>
      </c>
      <c r="G7" s="12" t="s">
        <v>72</v>
      </c>
    </row>
    <row r="8" spans="4:7" ht="12">
      <c r="D8" s="9">
        <v>37677</v>
      </c>
      <c r="E8" s="10" t="s">
        <v>53</v>
      </c>
      <c r="F8" s="10" t="s">
        <v>42</v>
      </c>
      <c r="G8" s="11" t="s">
        <v>72</v>
      </c>
    </row>
    <row r="9" spans="4:7" ht="12">
      <c r="D9" s="6">
        <v>37678</v>
      </c>
      <c r="E9" s="7" t="s">
        <v>53</v>
      </c>
      <c r="F9" s="7" t="s">
        <v>43</v>
      </c>
      <c r="G9" s="12" t="s">
        <v>72</v>
      </c>
    </row>
    <row r="10" spans="4:7" ht="12">
      <c r="D10" s="9">
        <v>37679</v>
      </c>
      <c r="E10" s="10" t="s">
        <v>53</v>
      </c>
      <c r="F10" s="10" t="s">
        <v>44</v>
      </c>
      <c r="G10" s="11" t="s">
        <v>72</v>
      </c>
    </row>
    <row r="11" spans="4:7" ht="12">
      <c r="D11" s="6">
        <v>37680</v>
      </c>
      <c r="E11" s="7" t="s">
        <v>53</v>
      </c>
      <c r="F11" s="7" t="s">
        <v>44</v>
      </c>
      <c r="G11" s="12" t="s">
        <v>72</v>
      </c>
    </row>
    <row r="12" spans="4:7" ht="12">
      <c r="D12" s="9">
        <v>37683</v>
      </c>
      <c r="E12" s="10" t="s">
        <v>51</v>
      </c>
      <c r="F12" s="10" t="s">
        <v>48</v>
      </c>
      <c r="G12" s="11" t="s">
        <v>72</v>
      </c>
    </row>
    <row r="13" spans="4:7" ht="12">
      <c r="D13" s="6">
        <v>37684</v>
      </c>
      <c r="E13" s="7" t="s">
        <v>62</v>
      </c>
      <c r="F13" s="7" t="s">
        <v>42</v>
      </c>
      <c r="G13" s="13"/>
    </row>
    <row r="14" spans="4:7" ht="12">
      <c r="D14" s="9">
        <v>37684</v>
      </c>
      <c r="E14" s="10" t="s">
        <v>52</v>
      </c>
      <c r="F14" s="10" t="s">
        <v>49</v>
      </c>
      <c r="G14" s="11" t="s">
        <v>72</v>
      </c>
    </row>
    <row r="15" spans="4:7" ht="12">
      <c r="D15" s="6">
        <v>37685</v>
      </c>
      <c r="E15" s="7" t="s">
        <v>51</v>
      </c>
      <c r="F15" s="7" t="s">
        <v>50</v>
      </c>
      <c r="G15" s="12" t="s">
        <v>72</v>
      </c>
    </row>
    <row r="16" spans="4:7" ht="12">
      <c r="D16" s="9">
        <v>37686</v>
      </c>
      <c r="E16" s="10" t="s">
        <v>53</v>
      </c>
      <c r="F16" s="10" t="s">
        <v>46</v>
      </c>
      <c r="G16" s="11" t="s">
        <v>72</v>
      </c>
    </row>
    <row r="17" spans="4:7" ht="12">
      <c r="D17" s="6">
        <v>37686</v>
      </c>
      <c r="E17" s="7" t="s">
        <v>53</v>
      </c>
      <c r="F17" s="7" t="s">
        <v>45</v>
      </c>
      <c r="G17" s="12" t="s">
        <v>72</v>
      </c>
    </row>
    <row r="18" spans="4:7" ht="12">
      <c r="D18" s="9">
        <v>37692</v>
      </c>
      <c r="E18" s="10" t="s">
        <v>54</v>
      </c>
      <c r="F18" s="10" t="s">
        <v>55</v>
      </c>
      <c r="G18" s="11" t="s">
        <v>72</v>
      </c>
    </row>
    <row r="19" spans="4:7" ht="12">
      <c r="D19" s="6">
        <v>37693</v>
      </c>
      <c r="E19" s="7" t="s">
        <v>51</v>
      </c>
      <c r="F19" s="7" t="s">
        <v>42</v>
      </c>
      <c r="G19" s="12" t="s">
        <v>72</v>
      </c>
    </row>
    <row r="20" spans="4:7" ht="12">
      <c r="D20" s="9">
        <v>37705</v>
      </c>
      <c r="E20" s="10" t="s">
        <v>35</v>
      </c>
      <c r="F20" s="10" t="s">
        <v>34</v>
      </c>
      <c r="G20" s="11" t="s">
        <v>72</v>
      </c>
    </row>
    <row r="21" spans="4:7" ht="12">
      <c r="D21" s="6">
        <v>37747</v>
      </c>
      <c r="E21" s="7" t="s">
        <v>36</v>
      </c>
      <c r="F21" s="7" t="s">
        <v>34</v>
      </c>
      <c r="G21" s="12"/>
    </row>
    <row r="22" spans="4:7" ht="12">
      <c r="D22" s="9">
        <v>37747</v>
      </c>
      <c r="E22" s="14" t="s">
        <v>47</v>
      </c>
      <c r="F22" s="10" t="s">
        <v>34</v>
      </c>
      <c r="G22" s="11" t="s">
        <v>72</v>
      </c>
    </row>
    <row r="23" spans="4:7" ht="12">
      <c r="D23" s="6">
        <v>37753</v>
      </c>
      <c r="E23" s="7" t="s">
        <v>63</v>
      </c>
      <c r="F23" s="7" t="s">
        <v>34</v>
      </c>
      <c r="G23" s="12" t="s">
        <v>72</v>
      </c>
    </row>
    <row r="24" spans="4:7" ht="12">
      <c r="D24" s="9">
        <v>37754</v>
      </c>
      <c r="E24" s="10" t="s">
        <v>65</v>
      </c>
      <c r="F24" s="10" t="s">
        <v>64</v>
      </c>
      <c r="G24" s="11" t="s">
        <v>72</v>
      </c>
    </row>
    <row r="25" spans="4:7" ht="12">
      <c r="D25" s="6">
        <v>37754</v>
      </c>
      <c r="E25" s="7" t="s">
        <v>69</v>
      </c>
      <c r="F25" s="7" t="s">
        <v>70</v>
      </c>
      <c r="G25" s="12" t="s">
        <v>72</v>
      </c>
    </row>
    <row r="26" spans="4:7" ht="12">
      <c r="D26" s="9">
        <v>37755</v>
      </c>
      <c r="E26" s="10" t="s">
        <v>65</v>
      </c>
      <c r="F26" s="10" t="s">
        <v>66</v>
      </c>
      <c r="G26" s="11" t="s">
        <v>72</v>
      </c>
    </row>
    <row r="27" spans="4:7" ht="12">
      <c r="D27" s="6">
        <v>37760</v>
      </c>
      <c r="E27" s="7" t="s">
        <v>67</v>
      </c>
      <c r="F27" s="7" t="s">
        <v>68</v>
      </c>
      <c r="G27" s="12" t="s">
        <v>72</v>
      </c>
    </row>
    <row r="28" spans="4:7" ht="12">
      <c r="D28" s="9">
        <v>37764</v>
      </c>
      <c r="E28" s="10" t="s">
        <v>71</v>
      </c>
      <c r="F28" s="10" t="s">
        <v>42</v>
      </c>
      <c r="G28" s="11" t="s">
        <v>72</v>
      </c>
    </row>
    <row r="29" spans="4:7" ht="12">
      <c r="D29" s="6">
        <v>37775</v>
      </c>
      <c r="E29" s="7" t="s">
        <v>56</v>
      </c>
      <c r="F29" s="7" t="s">
        <v>57</v>
      </c>
      <c r="G29" s="13"/>
    </row>
    <row r="30" spans="4:7" ht="12">
      <c r="D30" s="9" t="s">
        <v>73</v>
      </c>
      <c r="E30" s="10" t="s">
        <v>74</v>
      </c>
      <c r="F30" s="10" t="s">
        <v>34</v>
      </c>
      <c r="G30" s="11"/>
    </row>
    <row r="31" spans="4:7" ht="12">
      <c r="D31" s="6">
        <v>37854</v>
      </c>
      <c r="E31" s="7" t="s">
        <v>37</v>
      </c>
      <c r="F31" s="7" t="s">
        <v>34</v>
      </c>
      <c r="G31" s="13"/>
    </row>
    <row r="32" spans="4:7" ht="12">
      <c r="D32" s="9">
        <v>37854</v>
      </c>
      <c r="E32" s="10" t="s">
        <v>38</v>
      </c>
      <c r="F32" s="10" t="s">
        <v>34</v>
      </c>
      <c r="G32" s="11"/>
    </row>
    <row r="33" spans="4:7" ht="12">
      <c r="D33" s="6">
        <v>37861</v>
      </c>
      <c r="E33" s="7" t="s">
        <v>58</v>
      </c>
      <c r="F33" s="7" t="s">
        <v>55</v>
      </c>
      <c r="G33" s="13"/>
    </row>
    <row r="34" spans="4:7" ht="12">
      <c r="D34" s="9">
        <v>37901</v>
      </c>
      <c r="E34" s="10" t="s">
        <v>59</v>
      </c>
      <c r="F34" s="10" t="s">
        <v>61</v>
      </c>
      <c r="G34" s="11"/>
    </row>
    <row r="35" spans="4:7" ht="12">
      <c r="D35" s="6">
        <v>37922</v>
      </c>
      <c r="E35" s="7" t="s">
        <v>39</v>
      </c>
      <c r="F35" s="7" t="s">
        <v>34</v>
      </c>
      <c r="G35" s="13"/>
    </row>
    <row r="36" spans="4:7" ht="12">
      <c r="D36" s="9">
        <v>37922</v>
      </c>
      <c r="E36" s="10" t="s">
        <v>38</v>
      </c>
      <c r="F36" s="10" t="s">
        <v>34</v>
      </c>
      <c r="G36" s="11"/>
    </row>
    <row r="37" spans="4:7" ht="12">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DDB Koncern</dc:creator>
  <cp:keywords/>
  <dc:description/>
  <cp:lastModifiedBy>Robin Hjelgaard Løfgren</cp:lastModifiedBy>
  <cp:lastPrinted>2019-10-31T12:46:46Z</cp:lastPrinted>
  <dcterms:created xsi:type="dcterms:W3CDTF">2003-01-28T08:39:25Z</dcterms:created>
  <dcterms:modified xsi:type="dcterms:W3CDTF">2020-04-20T12:40:23Z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