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480" yWindow="120" windowWidth="15480" windowHeight="11640" tabRatio="953" activeTab="0"/>
  </bookViews>
  <sheets>
    <sheet name="Disclaimer" sheetId="1" r:id="rId1"/>
    <sheet name="Frontpage" sheetId="2" r:id="rId2"/>
    <sheet name="Sampo Bank Group" sheetId="3" r:id="rId3"/>
    <sheet name="Sampo Bank, private" sheetId="4" r:id="rId4"/>
    <sheet name="Sampo Bank, corporate" sheetId="5" r:id="rId5"/>
    <sheet name="Sampo Bank, baltics" sheetId="6" r:id="rId6"/>
    <sheet name="Sampo Bank, asset mgmt" sheetId="7" r:id="rId7"/>
    <sheet name="Sampo Bank, other&amp;eliminations" sheetId="8" r:id="rId8"/>
    <sheet name="Danske Bank Group" sheetId="9" r:id="rId9"/>
    <sheet name="Proforma Consolidation" sheetId="10" r:id="rId10"/>
  </sheets>
  <definedNames>
    <definedName name="DisplaySelectedSheetsMacroButton">#REF!</definedName>
    <definedName name="ListSheetsMacroButton">#REF!</definedName>
    <definedName name="MscoInputCell1" localSheetId="8" hidden="1">'Danske Bank Group'!$D$7</definedName>
    <definedName name="MscoInputCell1" localSheetId="9" hidden="1">'Proforma Consolidation'!$D$7</definedName>
    <definedName name="MscoInputCell1" localSheetId="2" hidden="1">'Sampo Bank Group'!$D$7</definedName>
    <definedName name="MscoInputCell1" localSheetId="6" hidden="1">'Sampo Bank, asset mgmt'!$G$12</definedName>
    <definedName name="MscoInputCell1" localSheetId="5" hidden="1">'Sampo Bank, baltics'!$G$12</definedName>
    <definedName name="MscoInputCell1" localSheetId="4" hidden="1">'Sampo Bank, corporate'!$D$7</definedName>
    <definedName name="MscoInputCell1" localSheetId="7" hidden="1">'Sampo Bank, other&amp;eliminations'!$G$12</definedName>
    <definedName name="MscoInputCell1" localSheetId="3" hidden="1">'Sampo Bank, private'!$D$7</definedName>
    <definedName name="MscoInputCell10" localSheetId="8" hidden="1">'Danske Bank Group'!#REF!</definedName>
    <definedName name="MscoInputCell10" localSheetId="9" hidden="1">'Proforma Consolidation'!#REF!</definedName>
    <definedName name="MscoInputCell10" localSheetId="2" hidden="1">'Sampo Bank Group'!#REF!</definedName>
    <definedName name="MscoInputCell10" localSheetId="4" hidden="1">'Sampo Bank, corporate'!$C$17</definedName>
    <definedName name="MscoInputCell10" localSheetId="3" hidden="1">'Sampo Bank, private'!$G$12</definedName>
    <definedName name="MscoInputCell11" localSheetId="8" hidden="1">'Danske Bank Group'!#REF!</definedName>
    <definedName name="MscoInputCell11" localSheetId="9" hidden="1">'Proforma Consolidation'!$D$26</definedName>
    <definedName name="MscoInputCell11" localSheetId="2" hidden="1">'Sampo Bank Group'!$D$26</definedName>
    <definedName name="MscoInputCell11" localSheetId="4" hidden="1">'Sampo Bank, corporate'!$C$15</definedName>
    <definedName name="MscoInputCell11" localSheetId="3" hidden="1">'Sampo Bank, private'!$G$15</definedName>
    <definedName name="MscoInputCell12" localSheetId="8" hidden="1">'Danske Bank Group'!$D$10</definedName>
    <definedName name="MscoInputCell12" localSheetId="9" hidden="1">'Proforma Consolidation'!$D$10</definedName>
    <definedName name="MscoInputCell12" localSheetId="2" hidden="1">'Sampo Bank Group'!$D$10</definedName>
    <definedName name="MscoInputCell12" localSheetId="4" hidden="1">'Sampo Bank, corporate'!$C$27</definedName>
    <definedName name="MscoInputCell12" localSheetId="3" hidden="1">'Sampo Bank, private'!$G$17</definedName>
    <definedName name="MscoInputCell13" localSheetId="8" hidden="1">'Danske Bank Group'!$D$27</definedName>
    <definedName name="MscoInputCell13" localSheetId="9" hidden="1">'Proforma Consolidation'!$D$27</definedName>
    <definedName name="MscoInputCell13" localSheetId="2" hidden="1">'Sampo Bank Group'!$D$27</definedName>
    <definedName name="MscoInputCell13" localSheetId="4" hidden="1">'Sampo Bank, corporate'!$C$26</definedName>
    <definedName name="MscoInputCell13" localSheetId="3" hidden="1">'Sampo Bank, private'!$D$27</definedName>
    <definedName name="MscoInputCell14" localSheetId="8" hidden="1">'Danske Bank Group'!$D$28</definedName>
    <definedName name="MscoInputCell14" localSheetId="9" hidden="1">'Proforma Consolidation'!$D$28</definedName>
    <definedName name="MscoInputCell14" localSheetId="2" hidden="1">'Sampo Bank Group'!$D$28</definedName>
    <definedName name="MscoInputCell14" localSheetId="4" hidden="1">'Sampo Bank, corporate'!$C$28</definedName>
    <definedName name="MscoInputCell14" localSheetId="3" hidden="1">'Sampo Bank, private'!#REF!</definedName>
    <definedName name="MscoInputCell15" localSheetId="8" hidden="1">'Danske Bank Group'!$D$30</definedName>
    <definedName name="MscoInputCell15" localSheetId="9" hidden="1">'Proforma Consolidation'!$D$30</definedName>
    <definedName name="MscoInputCell15" localSheetId="2" hidden="1">'Sampo Bank Group'!$D$30</definedName>
    <definedName name="MscoInputCell15" localSheetId="4" hidden="1">'Sampo Bank, corporate'!$E$7</definedName>
    <definedName name="MscoInputCell15" localSheetId="3" hidden="1">'Sampo Bank, private'!$C$26</definedName>
    <definedName name="MscoInputCell16" localSheetId="8" hidden="1">'Danske Bank Group'!#REF!</definedName>
    <definedName name="MscoInputCell16" localSheetId="9" hidden="1">'Proforma Consolidation'!#REF!</definedName>
    <definedName name="MscoInputCell16" localSheetId="2" hidden="1">'Sampo Bank Group'!#REF!</definedName>
    <definedName name="MscoInputCell16" localSheetId="4" hidden="1">'Sampo Bank, corporate'!$E$12</definedName>
    <definedName name="MscoInputCell16" localSheetId="3" hidden="1">'Sampo Bank, private'!$D$26</definedName>
    <definedName name="MscoInputCell17" localSheetId="8" hidden="1">'Danske Bank Group'!#REF!</definedName>
    <definedName name="MscoInputCell17" localSheetId="9" hidden="1">'Proforma Consolidation'!#REF!</definedName>
    <definedName name="MscoInputCell17" localSheetId="2" hidden="1">'Sampo Bank Group'!#REF!</definedName>
    <definedName name="MscoInputCell17" localSheetId="4" hidden="1">'Sampo Bank, corporate'!$E$11</definedName>
    <definedName name="MscoInputCell17" localSheetId="3" hidden="1">'Sampo Bank, private'!$E$26</definedName>
    <definedName name="MscoInputCell18" localSheetId="8" hidden="1">'Danske Bank Group'!#REF!</definedName>
    <definedName name="MscoInputCell18" localSheetId="9" hidden="1">'Proforma Consolidation'!#REF!</definedName>
    <definedName name="MscoInputCell18" localSheetId="2" hidden="1">'Sampo Bank Group'!#REF!</definedName>
    <definedName name="MscoInputCell18" localSheetId="4" hidden="1">'Sampo Bank, corporate'!$E$15</definedName>
    <definedName name="MscoInputCell18" localSheetId="3" hidden="1">'Sampo Bank, private'!$C$28</definedName>
    <definedName name="MscoInputCell19" localSheetId="8" hidden="1">'Danske Bank Group'!#REF!</definedName>
    <definedName name="MscoInputCell19" localSheetId="9" hidden="1">'Proforma Consolidation'!#REF!</definedName>
    <definedName name="MscoInputCell19" localSheetId="2" hidden="1">'Sampo Bank Group'!#REF!</definedName>
    <definedName name="MscoInputCell19" localSheetId="4" hidden="1">'Sampo Bank, corporate'!$E$17</definedName>
    <definedName name="MscoInputCell19" localSheetId="3" hidden="1">'Sampo Bank, private'!$G$26</definedName>
    <definedName name="MscoInputCell2" localSheetId="8" hidden="1">'Danske Bank Group'!$D$8</definedName>
    <definedName name="MscoInputCell2" localSheetId="9" hidden="1">'Proforma Consolidation'!$D$8</definedName>
    <definedName name="MscoInputCell2" localSheetId="2" hidden="1">'Sampo Bank Group'!$D$8</definedName>
    <definedName name="MscoInputCell2" localSheetId="6" hidden="1">'Sampo Bank, asset mgmt'!$G$17</definedName>
    <definedName name="MscoInputCell2" localSheetId="5" hidden="1">'Sampo Bank, baltics'!$G$17</definedName>
    <definedName name="MscoInputCell2" localSheetId="4" hidden="1">'Sampo Bank, corporate'!$D$17</definedName>
    <definedName name="MscoInputCell2" localSheetId="7" hidden="1">'Sampo Bank, other&amp;eliminations'!$G$17</definedName>
    <definedName name="MscoInputCell2" localSheetId="3" hidden="1">'Sampo Bank, private'!$D$17</definedName>
    <definedName name="MscoInputCell20" localSheetId="8" hidden="1">'Danske Bank Group'!$C$7</definedName>
    <definedName name="MscoInputCell20" localSheetId="9" hidden="1">'Proforma Consolidation'!$C$7</definedName>
    <definedName name="MscoInputCell20" localSheetId="2" hidden="1">'Sampo Bank Group'!$C$7</definedName>
    <definedName name="MscoInputCell20" localSheetId="4" hidden="1">'Sampo Bank, corporate'!#REF!</definedName>
    <definedName name="MscoInputCell20" localSheetId="3" hidden="1">'Sampo Bank, private'!$D$28</definedName>
    <definedName name="MscoInputCell21" localSheetId="8" hidden="1">'Danske Bank Group'!$C$8</definedName>
    <definedName name="MscoInputCell21" localSheetId="9" hidden="1">'Proforma Consolidation'!$C$8</definedName>
    <definedName name="MscoInputCell21" localSheetId="2" hidden="1">'Sampo Bank Group'!$C$8</definedName>
    <definedName name="MscoInputCell21" localSheetId="4" hidden="1">'Sampo Bank, corporate'!$E$26</definedName>
    <definedName name="MscoInputCell21" localSheetId="3" hidden="1">'Sampo Bank, private'!$C$27</definedName>
    <definedName name="MscoInputCell22" localSheetId="8" hidden="1">'Danske Bank Group'!$C$9</definedName>
    <definedName name="MscoInputCell22" localSheetId="9" hidden="1">'Proforma Consolidation'!$C$9</definedName>
    <definedName name="MscoInputCell22" localSheetId="2" hidden="1">'Sampo Bank Group'!$C$9</definedName>
    <definedName name="MscoInputCell22" localSheetId="4" hidden="1">'Sampo Bank, corporate'!$G$28</definedName>
    <definedName name="MscoInputCell22" localSheetId="3" hidden="1">'Sampo Bank, private'!$K$31</definedName>
    <definedName name="MscoInputCell23" localSheetId="8" hidden="1">'Danske Bank Group'!$C$12</definedName>
    <definedName name="MscoInputCell23" localSheetId="9" hidden="1">'Proforma Consolidation'!$C$12</definedName>
    <definedName name="MscoInputCell23" localSheetId="2" hidden="1">'Sampo Bank Group'!$C$12</definedName>
    <definedName name="MscoInputCell23" localSheetId="4" hidden="1">'Sampo Bank, corporate'!$G$26</definedName>
    <definedName name="MscoInputCell23" localSheetId="3" hidden="1">'Sampo Bank, private'!$C$7</definedName>
    <definedName name="MscoInputCell24" localSheetId="8" hidden="1">'Danske Bank Group'!$C$17</definedName>
    <definedName name="MscoInputCell24" localSheetId="9" hidden="1">'Proforma Consolidation'!$C$17</definedName>
    <definedName name="MscoInputCell24" localSheetId="2" hidden="1">'Sampo Bank Group'!$C$17</definedName>
    <definedName name="MscoInputCell24" localSheetId="4" hidden="1">'Sampo Bank, corporate'!$E$27</definedName>
    <definedName name="MscoInputCell24" localSheetId="3" hidden="1">'Sampo Bank, private'!$C$12</definedName>
    <definedName name="MscoInputCell25" localSheetId="8" hidden="1">'Danske Bank Group'!$C$13</definedName>
    <definedName name="MscoInputCell25" localSheetId="9" hidden="1">'Proforma Consolidation'!$C$13</definedName>
    <definedName name="MscoInputCell25" localSheetId="2" hidden="1">'Sampo Bank Group'!$C$13</definedName>
    <definedName name="MscoInputCell25" localSheetId="4" hidden="1">'Sampo Bank, corporate'!$G$27</definedName>
    <definedName name="MscoInputCell25" localSheetId="3" hidden="1">'Sampo Bank, private'!$C$15</definedName>
    <definedName name="MscoInputCell26" localSheetId="8" hidden="1">'Danske Bank Group'!$C$14</definedName>
    <definedName name="MscoInputCell26" localSheetId="9" hidden="1">'Proforma Consolidation'!$C$14</definedName>
    <definedName name="MscoInputCell26" localSheetId="2" hidden="1">'Sampo Bank Group'!$C$14</definedName>
    <definedName name="MscoInputCell26" localSheetId="4" hidden="1">'Sampo Bank, corporate'!$E$28</definedName>
    <definedName name="MscoInputCell26" localSheetId="3" hidden="1">'Sampo Bank, private'!$C$17</definedName>
    <definedName name="MscoInputCell27" localSheetId="8" hidden="1">'Danske Bank Group'!$C$19</definedName>
    <definedName name="MscoInputCell27" localSheetId="9" hidden="1">'Proforma Consolidation'!$C$19</definedName>
    <definedName name="MscoInputCell27" localSheetId="2" hidden="1">'Sampo Bank Group'!$C$19</definedName>
    <definedName name="MscoInputCell27" localSheetId="4" hidden="1">'Sampo Bank, corporate'!#REF!</definedName>
    <definedName name="MscoInputCell27" localSheetId="3" hidden="1">'Sampo Bank, private'!#REF!</definedName>
    <definedName name="MscoInputCell28" localSheetId="8" hidden="1">'Danske Bank Group'!$C$25</definedName>
    <definedName name="MscoInputCell28" localSheetId="9" hidden="1">'Proforma Consolidation'!$C$25</definedName>
    <definedName name="MscoInputCell28" localSheetId="2" hidden="1">'Sampo Bank Group'!$C$25</definedName>
    <definedName name="MscoInputCell28" localSheetId="3" hidden="1">'Sampo Bank, private'!$E$30</definedName>
    <definedName name="MscoInputCell29" localSheetId="8" hidden="1">'Danske Bank Group'!#REF!</definedName>
    <definedName name="MscoInputCell29" localSheetId="9" hidden="1">'Proforma Consolidation'!#REF!</definedName>
    <definedName name="MscoInputCell29" localSheetId="2" hidden="1">'Sampo Bank Group'!#REF!</definedName>
    <definedName name="MscoInputCell29" localSheetId="3" hidden="1">'Sampo Bank, private'!#REF!</definedName>
    <definedName name="MscoInputCell3" localSheetId="8" hidden="1">'Danske Bank Group'!$D$9</definedName>
    <definedName name="MscoInputCell3" localSheetId="9" hidden="1">'Proforma Consolidation'!$D$9</definedName>
    <definedName name="MscoInputCell3" localSheetId="2" hidden="1">'Sampo Bank Group'!$D$9</definedName>
    <definedName name="MscoInputCell3" localSheetId="6" hidden="1">'Sampo Bank, asset mgmt'!$G$7</definedName>
    <definedName name="MscoInputCell3" localSheetId="5" hidden="1">'Sampo Bank, baltics'!$G$7</definedName>
    <definedName name="MscoInputCell3" localSheetId="4" hidden="1">'Sampo Bank, corporate'!$D$15</definedName>
    <definedName name="MscoInputCell3" localSheetId="7" hidden="1">'Sampo Bank, other&amp;eliminations'!$G$7</definedName>
    <definedName name="MscoInputCell3" localSheetId="3" hidden="1">'Sampo Bank, private'!$D$15</definedName>
    <definedName name="MscoInputCell30" localSheetId="8" hidden="1">'Danske Bank Group'!$D$26</definedName>
    <definedName name="MscoInputCell30" localSheetId="9" hidden="1">'Proforma Consolidation'!$C$26</definedName>
    <definedName name="MscoInputCell30" localSheetId="2" hidden="1">'Sampo Bank Group'!$C$26</definedName>
    <definedName name="MscoInputCell30" localSheetId="3" hidden="1">'Sampo Bank, private'!#REF!</definedName>
    <definedName name="MscoInputCell31" localSheetId="8" hidden="1">'Danske Bank Group'!$C$27</definedName>
    <definedName name="MscoInputCell31" localSheetId="9" hidden="1">'Proforma Consolidation'!$C$27</definedName>
    <definedName name="MscoInputCell31" localSheetId="2" hidden="1">'Sampo Bank Group'!$C$27</definedName>
    <definedName name="MscoInputCell31" localSheetId="3" hidden="1">'Sampo Bank, private'!#REF!</definedName>
    <definedName name="MscoInputCell32" localSheetId="8" hidden="1">'Danske Bank Group'!$C$28</definedName>
    <definedName name="MscoInputCell32" localSheetId="9" hidden="1">'Proforma Consolidation'!$C$28</definedName>
    <definedName name="MscoInputCell32" localSheetId="2" hidden="1">'Sampo Bank Group'!$C$28</definedName>
    <definedName name="MscoInputCell32" localSheetId="3" hidden="1">'Sampo Bank, private'!#REF!</definedName>
    <definedName name="MscoInputCell33" localSheetId="8" hidden="1">'Danske Bank Group'!$C$30</definedName>
    <definedName name="MscoInputCell33" localSheetId="9" hidden="1">'Proforma Consolidation'!$C$30</definedName>
    <definedName name="MscoInputCell33" localSheetId="2" hidden="1">'Sampo Bank Group'!$C$30</definedName>
    <definedName name="MscoInputCell33" localSheetId="3" hidden="1">'Sampo Bank, private'!$E$28</definedName>
    <definedName name="MscoInputCell34" localSheetId="8" hidden="1">'Danske Bank Group'!#REF!</definedName>
    <definedName name="MscoInputCell34" localSheetId="9" hidden="1">'Proforma Consolidation'!#REF!</definedName>
    <definedName name="MscoInputCell34" localSheetId="2" hidden="1">'Sampo Bank Group'!#REF!</definedName>
    <definedName name="MscoInputCell34" localSheetId="3" hidden="1">'Sampo Bank, private'!$G$28</definedName>
    <definedName name="MscoInputCell35" localSheetId="8" hidden="1">'Danske Bank Group'!#REF!</definedName>
    <definedName name="MscoInputCell35" localSheetId="9" hidden="1">'Proforma Consolidation'!#REF!</definedName>
    <definedName name="MscoInputCell35" localSheetId="2" hidden="1">'Sampo Bank Group'!#REF!</definedName>
    <definedName name="MscoInputCell35" localSheetId="3" hidden="1">'Sampo Bank, private'!#REF!</definedName>
    <definedName name="MscoInputCell36" localSheetId="8" hidden="1">'Danske Bank Group'!#REF!</definedName>
    <definedName name="MscoInputCell36" localSheetId="9" hidden="1">'Proforma Consolidation'!#REF!</definedName>
    <definedName name="MscoInputCell36" localSheetId="2" hidden="1">'Sampo Bank Group'!#REF!</definedName>
    <definedName name="MscoInputCell36" localSheetId="3" hidden="1">'Sampo Bank, private'!$E$27</definedName>
    <definedName name="MscoInputCell37" localSheetId="8" hidden="1">'Danske Bank Group'!#REF!</definedName>
    <definedName name="MscoInputCell37" localSheetId="9" hidden="1">'Proforma Consolidation'!#REF!</definedName>
    <definedName name="MscoInputCell37" localSheetId="2" hidden="1">'Sampo Bank Group'!#REF!</definedName>
    <definedName name="MscoInputCell37" localSheetId="3" hidden="1">'Sampo Bank, private'!$G$27</definedName>
    <definedName name="MscoInputCell38" localSheetId="8" hidden="1">'Danske Bank Group'!$G$7</definedName>
    <definedName name="MscoInputCell38" localSheetId="9" hidden="1">'Proforma Consolidation'!$G$7</definedName>
    <definedName name="MscoInputCell38" localSheetId="2" hidden="1">'Sampo Bank Group'!$G$7</definedName>
    <definedName name="MscoInputCell39" localSheetId="8" hidden="1">'Danske Bank Group'!$G$17</definedName>
    <definedName name="MscoInputCell39" localSheetId="9" hidden="1">'Proforma Consolidation'!$G$17</definedName>
    <definedName name="MscoInputCell39" localSheetId="2" hidden="1">'Sampo Bank Group'!$G$17</definedName>
    <definedName name="MscoInputCell4" localSheetId="8" hidden="1">'Danske Bank Group'!$D$12</definedName>
    <definedName name="MscoInputCell4" localSheetId="9" hidden="1">'Proforma Consolidation'!$D$12</definedName>
    <definedName name="MscoInputCell4" localSheetId="2" hidden="1">'Sampo Bank Group'!$D$12</definedName>
    <definedName name="MscoInputCell4" localSheetId="6" hidden="1">'Sampo Bank, asset mgmt'!$G$15</definedName>
    <definedName name="MscoInputCell4" localSheetId="5" hidden="1">'Sampo Bank, baltics'!$G$15</definedName>
    <definedName name="MscoInputCell4" localSheetId="4" hidden="1">'Sampo Bank, corporate'!$D$26</definedName>
    <definedName name="MscoInputCell4" localSheetId="7" hidden="1">'Sampo Bank, other&amp;eliminations'!$G$15</definedName>
    <definedName name="MscoInputCell4" localSheetId="3" hidden="1">'Sampo Bank, private'!$E$7</definedName>
    <definedName name="MscoInputCell40" localSheetId="8" hidden="1">'Danske Bank Group'!$G$7</definedName>
    <definedName name="MscoInputCell40" localSheetId="9" hidden="1">'Proforma Consolidation'!$G$7</definedName>
    <definedName name="MscoInputCell40" localSheetId="2" hidden="1">'Sampo Bank Group'!$G$7</definedName>
    <definedName name="MscoInputCell41" localSheetId="8" hidden="1">'Danske Bank Group'!$G$12</definedName>
    <definedName name="MscoInputCell41" localSheetId="9" hidden="1">'Proforma Consolidation'!$G$12</definedName>
    <definedName name="MscoInputCell41" localSheetId="2" hidden="1">'Sampo Bank Group'!$G$12</definedName>
    <definedName name="MscoInputCell42" localSheetId="8" hidden="1">'Danske Bank Group'!$G$13</definedName>
    <definedName name="MscoInputCell42" localSheetId="9" hidden="1">'Proforma Consolidation'!$G$13</definedName>
    <definedName name="MscoInputCell42" localSheetId="2" hidden="1">'Sampo Bank Group'!$G$13</definedName>
    <definedName name="MscoInputCell43" localSheetId="8" hidden="1">'Danske Bank Group'!$G$14</definedName>
    <definedName name="MscoInputCell43" localSheetId="9" hidden="1">'Proforma Consolidation'!$G$14</definedName>
    <definedName name="MscoInputCell43" localSheetId="2" hidden="1">'Sampo Bank Group'!$G$14</definedName>
    <definedName name="MscoInputCell44" localSheetId="8" hidden="1">'Danske Bank Group'!$G$19</definedName>
    <definedName name="MscoInputCell44" localSheetId="9" hidden="1">'Proforma Consolidation'!$G$19</definedName>
    <definedName name="MscoInputCell44" localSheetId="2" hidden="1">'Sampo Bank Group'!$G$19</definedName>
    <definedName name="MscoInputCell45" localSheetId="8" hidden="1">'Danske Bank Group'!$G$20</definedName>
    <definedName name="MscoInputCell45" localSheetId="9" hidden="1">'Proforma Consolidation'!$G$20</definedName>
    <definedName name="MscoInputCell45" localSheetId="2" hidden="1">'Sampo Bank Group'!$G$20</definedName>
    <definedName name="MscoInputCell46" localSheetId="8" hidden="1">'Danske Bank Group'!$E$17</definedName>
    <definedName name="MscoInputCell46" localSheetId="9" hidden="1">'Proforma Consolidation'!$E$17</definedName>
    <definedName name="MscoInputCell46" localSheetId="2" hidden="1">'Sampo Bank Group'!$E$17</definedName>
    <definedName name="MscoInputCell47" localSheetId="8" hidden="1">'Danske Bank Group'!$F$17</definedName>
    <definedName name="MscoInputCell47" localSheetId="9" hidden="1">'Proforma Consolidation'!$F$17</definedName>
    <definedName name="MscoInputCell47" localSheetId="2" hidden="1">'Sampo Bank Group'!$F$17</definedName>
    <definedName name="MscoInputCell48" localSheetId="8" hidden="1">'Danske Bank Group'!$E$7</definedName>
    <definedName name="MscoInputCell48" localSheetId="9" hidden="1">'Proforma Consolidation'!$E$7</definedName>
    <definedName name="MscoInputCell48" localSheetId="2" hidden="1">'Sampo Bank Group'!$E$7</definedName>
    <definedName name="MscoInputCell49" localSheetId="8" hidden="1">'Danske Bank Group'!$F$7</definedName>
    <definedName name="MscoInputCell49" localSheetId="9" hidden="1">'Proforma Consolidation'!$F$7</definedName>
    <definedName name="MscoInputCell49" localSheetId="2" hidden="1">'Sampo Bank Group'!$F$7</definedName>
    <definedName name="MscoInputCell5" localSheetId="8" hidden="1">'Danske Bank Group'!$D$13</definedName>
    <definedName name="MscoInputCell5" localSheetId="9" hidden="1">'Proforma Consolidation'!$D$13</definedName>
    <definedName name="MscoInputCell5" localSheetId="2" hidden="1">'Sampo Bank Group'!$D$13</definedName>
    <definedName name="MscoInputCell5" localSheetId="6" hidden="1">'Sampo Bank, asset mgmt'!$F$12</definedName>
    <definedName name="MscoInputCell5" localSheetId="4" hidden="1">'Sampo Bank, corporate'!$D$27</definedName>
    <definedName name="MscoInputCell5" localSheetId="7" hidden="1">'Sampo Bank, other&amp;eliminations'!$F$12</definedName>
    <definedName name="MscoInputCell5" localSheetId="3" hidden="1">'Sampo Bank, private'!$E$12</definedName>
    <definedName name="MscoInputCell50" localSheetId="8" hidden="1">'Danske Bank Group'!$E$8</definedName>
    <definedName name="MscoInputCell50" localSheetId="9" hidden="1">'Proforma Consolidation'!$E$8</definedName>
    <definedName name="MscoInputCell50" localSheetId="2" hidden="1">'Sampo Bank Group'!$E$8</definedName>
    <definedName name="MscoInputCell51" localSheetId="8" hidden="1">'Danske Bank Group'!$F$8</definedName>
    <definedName name="MscoInputCell51" localSheetId="9" hidden="1">'Proforma Consolidation'!$F$8</definedName>
    <definedName name="MscoInputCell51" localSheetId="2" hidden="1">'Sampo Bank Group'!$F$8</definedName>
    <definedName name="MscoInputCell52" localSheetId="8" hidden="1">'Danske Bank Group'!$E$9</definedName>
    <definedName name="MscoInputCell52" localSheetId="9" hidden="1">'Proforma Consolidation'!$E$9</definedName>
    <definedName name="MscoInputCell52" localSheetId="2" hidden="1">'Sampo Bank Group'!$E$9</definedName>
    <definedName name="MscoInputCell53" localSheetId="8" hidden="1">'Danske Bank Group'!$F$9</definedName>
    <definedName name="MscoInputCell53" localSheetId="9" hidden="1">'Proforma Consolidation'!$F$9</definedName>
    <definedName name="MscoInputCell53" localSheetId="2" hidden="1">'Sampo Bank Group'!$F$9</definedName>
    <definedName name="MscoInputCell54" localSheetId="8" hidden="1">'Danske Bank Group'!$E$12</definedName>
    <definedName name="MscoInputCell54" localSheetId="9" hidden="1">'Proforma Consolidation'!$E$12</definedName>
    <definedName name="MscoInputCell54" localSheetId="2" hidden="1">'Sampo Bank Group'!$E$12</definedName>
    <definedName name="MscoInputCell55" localSheetId="8" hidden="1">'Danske Bank Group'!$F$12</definedName>
    <definedName name="MscoInputCell55" localSheetId="9" hidden="1">'Proforma Consolidation'!$F$12</definedName>
    <definedName name="MscoInputCell55" localSheetId="2" hidden="1">'Sampo Bank Group'!$F$12</definedName>
    <definedName name="MscoInputCell56" localSheetId="8" hidden="1">'Danske Bank Group'!$E$13</definedName>
    <definedName name="MscoInputCell56" localSheetId="9" hidden="1">'Proforma Consolidation'!$E$13</definedName>
    <definedName name="MscoInputCell56" localSheetId="2" hidden="1">'Sampo Bank Group'!$E$13</definedName>
    <definedName name="MscoInputCell57" localSheetId="8" hidden="1">'Danske Bank Group'!$F$13</definedName>
    <definedName name="MscoInputCell57" localSheetId="9" hidden="1">'Proforma Consolidation'!$F$13</definedName>
    <definedName name="MscoInputCell57" localSheetId="2" hidden="1">'Sampo Bank Group'!$F$13</definedName>
    <definedName name="MscoInputCell58" localSheetId="8" hidden="1">'Danske Bank Group'!$E$14</definedName>
    <definedName name="MscoInputCell58" localSheetId="9" hidden="1">'Proforma Consolidation'!$E$14</definedName>
    <definedName name="MscoInputCell58" localSheetId="2" hidden="1">'Sampo Bank Group'!$E$14</definedName>
    <definedName name="MscoInputCell59" localSheetId="8" hidden="1">'Danske Bank Group'!$F$14</definedName>
    <definedName name="MscoInputCell59" localSheetId="9" hidden="1">'Proforma Consolidation'!$F$14</definedName>
    <definedName name="MscoInputCell59" localSheetId="2" hidden="1">'Sampo Bank Group'!$F$14</definedName>
    <definedName name="MscoInputCell6" localSheetId="8" hidden="1">'Danske Bank Group'!$D$14</definedName>
    <definedName name="MscoInputCell6" localSheetId="9" hidden="1">'Proforma Consolidation'!$D$14</definedName>
    <definedName name="MscoInputCell6" localSheetId="2" hidden="1">'Sampo Bank Group'!$D$14</definedName>
    <definedName name="MscoInputCell6" localSheetId="6" hidden="1">'Sampo Bank, asset mgmt'!$F$15</definedName>
    <definedName name="MscoInputCell6" localSheetId="4" hidden="1">'Sampo Bank, corporate'!$D$28</definedName>
    <definedName name="MscoInputCell6" localSheetId="7" hidden="1">'Sampo Bank, other&amp;eliminations'!$F$15</definedName>
    <definedName name="MscoInputCell6" localSheetId="3" hidden="1">'Sampo Bank, private'!$D$12</definedName>
    <definedName name="MscoInputCell60" localSheetId="8" hidden="1">'Danske Bank Group'!$E$19</definedName>
    <definedName name="MscoInputCell60" localSheetId="9" hidden="1">'Proforma Consolidation'!$E$19</definedName>
    <definedName name="MscoInputCell60" localSheetId="2" hidden="1">'Sampo Bank Group'!$E$19</definedName>
    <definedName name="MscoInputCell61" localSheetId="8" hidden="1">'Danske Bank Group'!$F$19</definedName>
    <definedName name="MscoInputCell61" localSheetId="9" hidden="1">'Proforma Consolidation'!$F$19</definedName>
    <definedName name="MscoInputCell61" localSheetId="2" hidden="1">'Sampo Bank Group'!$F$19</definedName>
    <definedName name="MscoInputCell62" localSheetId="8" hidden="1">'Danske Bank Group'!$E$20</definedName>
    <definedName name="MscoInputCell62" localSheetId="9" hidden="1">'Proforma Consolidation'!$E$20</definedName>
    <definedName name="MscoInputCell62" localSheetId="2" hidden="1">'Sampo Bank Group'!$E$20</definedName>
    <definedName name="MscoInputCell63" localSheetId="8" hidden="1">'Danske Bank Group'!$E$25</definedName>
    <definedName name="MscoInputCell63" localSheetId="9" hidden="1">'Proforma Consolidation'!$E$25</definedName>
    <definedName name="MscoInputCell63" localSheetId="2" hidden="1">'Sampo Bank Group'!$E$25</definedName>
    <definedName name="MscoInputCell64" localSheetId="8" hidden="1">'Danske Bank Group'!$E$26</definedName>
    <definedName name="MscoInputCell64" localSheetId="9" hidden="1">'Proforma Consolidation'!$E$26</definedName>
    <definedName name="MscoInputCell64" localSheetId="2" hidden="1">'Sampo Bank Group'!$E$26</definedName>
    <definedName name="MscoInputCell65" localSheetId="8" hidden="1">'Danske Bank Group'!#REF!</definedName>
    <definedName name="MscoInputCell65" localSheetId="9" hidden="1">'Proforma Consolidation'!#REF!</definedName>
    <definedName name="MscoInputCell65" localSheetId="2" hidden="1">'Sampo Bank Group'!#REF!</definedName>
    <definedName name="MscoInputCell66" localSheetId="8" hidden="1">'Danske Bank Group'!$E$27</definedName>
    <definedName name="MscoInputCell66" localSheetId="9" hidden="1">'Proforma Consolidation'!$E$27</definedName>
    <definedName name="MscoInputCell66" localSheetId="2" hidden="1">'Sampo Bank Group'!$E$27</definedName>
    <definedName name="MscoInputCell67" localSheetId="8" hidden="1">'Danske Bank Group'!$E$28</definedName>
    <definedName name="MscoInputCell67" localSheetId="9" hidden="1">'Proforma Consolidation'!$E$28</definedName>
    <definedName name="MscoInputCell67" localSheetId="2" hidden="1">'Sampo Bank Group'!$E$28</definedName>
    <definedName name="MscoInputCell68" localSheetId="8" hidden="1">'Danske Bank Group'!$E$30</definedName>
    <definedName name="MscoInputCell68" localSheetId="9" hidden="1">'Proforma Consolidation'!$E$30</definedName>
    <definedName name="MscoInputCell68" localSheetId="2" hidden="1">'Sampo Bank Group'!$E$30</definedName>
    <definedName name="MscoInputCell69" localSheetId="8" hidden="1">'Danske Bank Group'!#REF!</definedName>
    <definedName name="MscoInputCell69" localSheetId="9" hidden="1">'Proforma Consolidation'!#REF!</definedName>
    <definedName name="MscoInputCell69" localSheetId="2" hidden="1">'Sampo Bank Group'!#REF!</definedName>
    <definedName name="MscoInputCell7" localSheetId="8" hidden="1">'Danske Bank Group'!$D$17</definedName>
    <definedName name="MscoInputCell7" localSheetId="9" hidden="1">'Proforma Consolidation'!$D$17</definedName>
    <definedName name="MscoInputCell7" localSheetId="2" hidden="1">'Sampo Bank Group'!$D$17</definedName>
    <definedName name="MscoInputCell7" localSheetId="4" hidden="1">'Sampo Bank, corporate'!$D$12</definedName>
    <definedName name="MscoInputCell7" localSheetId="3" hidden="1">'Sampo Bank, private'!$E$15</definedName>
    <definedName name="MscoInputCell70" localSheetId="8" hidden="1">'Danske Bank Group'!#REF!</definedName>
    <definedName name="MscoInputCell70" localSheetId="9" hidden="1">'Proforma Consolidation'!#REF!</definedName>
    <definedName name="MscoInputCell70" localSheetId="2" hidden="1">'Sampo Bank Group'!#REF!</definedName>
    <definedName name="MscoInputCell71" localSheetId="8" hidden="1">'Danske Bank Group'!#REF!</definedName>
    <definedName name="MscoInputCell71" localSheetId="9" hidden="1">'Proforma Consolidation'!#REF!</definedName>
    <definedName name="MscoInputCell71" localSheetId="2" hidden="1">'Sampo Bank Group'!#REF!</definedName>
    <definedName name="MscoInputCell72" localSheetId="8" hidden="1">'Danske Bank Group'!#REF!</definedName>
    <definedName name="MscoInputCell72" localSheetId="9" hidden="1">'Proforma Consolidation'!#REF!</definedName>
    <definedName name="MscoInputCell72" localSheetId="2" hidden="1">'Sampo Bank Group'!#REF!</definedName>
    <definedName name="MscoInputCell8" localSheetId="8" hidden="1">'Danske Bank Group'!$D$19</definedName>
    <definedName name="MscoInputCell8" localSheetId="9" hidden="1">'Proforma Consolidation'!$D$19</definedName>
    <definedName name="MscoInputCell8" localSheetId="2" hidden="1">'Sampo Bank Group'!$D$19</definedName>
    <definedName name="MscoInputCell8" localSheetId="4" hidden="1">'Sampo Bank, corporate'!$C$7</definedName>
    <definedName name="MscoInputCell8" localSheetId="3" hidden="1">'Sampo Bank, private'!$E$17</definedName>
    <definedName name="MscoInputCell9" localSheetId="8" hidden="1">'Danske Bank Group'!$D$25</definedName>
    <definedName name="MscoInputCell9" localSheetId="9" hidden="1">'Proforma Consolidation'!$D$25</definedName>
    <definedName name="MscoInputCell9" localSheetId="2" hidden="1">'Sampo Bank Group'!$D$25</definedName>
    <definedName name="MscoInputCell9" localSheetId="4" hidden="1">'Sampo Bank, corporate'!$C$12</definedName>
    <definedName name="MscoInputCell9" localSheetId="3" hidden="1">'Sampo Bank, private'!$G$7</definedName>
    <definedName name="_xlnm.Print_Area" localSheetId="8">'Danske Bank Group'!$B$2:$G$43</definedName>
    <definedName name="_xlnm.Print_Area" localSheetId="9">'Proforma Consolidation'!$B$2:$G$43</definedName>
    <definedName name="_xlnm.Print_Area" localSheetId="2">'Sampo Bank Group'!$B$2:$G$43</definedName>
    <definedName name="_xlnm.Print_Area" localSheetId="3">'Sampo Bank, private'!$B$2:$G$41</definedName>
    <definedName name="PrintManagerQuery">#REF!</definedName>
    <definedName name="PrintSelectedSheetsMacroButton">#REF!</definedName>
  </definedNames>
  <calcPr fullCalcOnLoad="1"/>
</workbook>
</file>

<file path=xl/sharedStrings.xml><?xml version="1.0" encoding="utf-8"?>
<sst xmlns="http://schemas.openxmlformats.org/spreadsheetml/2006/main" count="447" uniqueCount="53">
  <si>
    <t>Net interest income</t>
  </si>
  <si>
    <t>Net fee income</t>
  </si>
  <si>
    <t>Net trading income</t>
  </si>
  <si>
    <t>Other income</t>
  </si>
  <si>
    <t>Credit loss expenses</t>
  </si>
  <si>
    <t>Profit before tax</t>
  </si>
  <si>
    <t>Tax</t>
  </si>
  <si>
    <t>Total income</t>
  </si>
  <si>
    <t>Total assets</t>
  </si>
  <si>
    <t>Total operating expenses</t>
  </si>
  <si>
    <t>Profit before credit losses</t>
  </si>
  <si>
    <t>Net profit</t>
  </si>
  <si>
    <t>EUR m</t>
  </si>
  <si>
    <t>NII/RWA (avg.)</t>
  </si>
  <si>
    <t>Net income from insurance business</t>
  </si>
  <si>
    <t>Risk-weighted assets (end period)</t>
  </si>
  <si>
    <t>Shareholders equity</t>
  </si>
  <si>
    <t>Net profit for the period as % p.a.
of average shareholders' equity</t>
  </si>
  <si>
    <t>Non-NII/RWA (avg.)</t>
  </si>
  <si>
    <t>No. of full-time employees</t>
  </si>
  <si>
    <t>C/I ratio, %</t>
  </si>
  <si>
    <t>Net profit for the period as % p.a.
of average allocated capial</t>
  </si>
  <si>
    <t>1H-2006</t>
  </si>
  <si>
    <t>2H-2005</t>
  </si>
  <si>
    <t>1H-2005</t>
  </si>
  <si>
    <t>Performance indicators annualised for half-year periods</t>
  </si>
  <si>
    <t>Net profit for the period as % p.a.
of average allocated capital</t>
  </si>
  <si>
    <t>Amounts owed to credit institutions and customers</t>
  </si>
  <si>
    <t>NII/RWA (end-period)</t>
  </si>
  <si>
    <t>Non-NII/RWA (end-period)</t>
  </si>
  <si>
    <t xml:space="preserve">     Staff expenses</t>
  </si>
  <si>
    <t xml:space="preserve">     Other operating expenses</t>
  </si>
  <si>
    <t>-</t>
  </si>
  <si>
    <t>Total loans and receivables</t>
  </si>
  <si>
    <t>Debt securities in issue</t>
  </si>
  <si>
    <t>of which minority interests</t>
  </si>
  <si>
    <t>SAMPO BANK GROUP</t>
  </si>
  <si>
    <t>SAMPO BANK, Private customers</t>
  </si>
  <si>
    <t>SAMPO BANK, Corporate and institutional customers</t>
  </si>
  <si>
    <t>SAMPO BANK, Baltic banking</t>
  </si>
  <si>
    <t>SAMPO BANK, Asset management &amp; Funds</t>
  </si>
  <si>
    <t>SAMPO BANK, Other &amp; eliminations</t>
  </si>
  <si>
    <t>Shareholders equity ex minorities</t>
  </si>
  <si>
    <t>Please choose the exchange rate you would like to convert Sampo Bank's accounting data by:</t>
  </si>
  <si>
    <t>DANSKE BANK GROUP</t>
  </si>
  <si>
    <t>Proforma Consolidation</t>
  </si>
  <si>
    <t>DKR m</t>
  </si>
  <si>
    <t>Results converted to DKr by exchange rate:</t>
  </si>
  <si>
    <t>DKr m</t>
  </si>
  <si>
    <t>n.a.</t>
  </si>
  <si>
    <t>Please note that the figures presented herein may not necessarily be the same as what is presented elsewhere on the Web site, due to variations in accounting practises.</t>
  </si>
  <si>
    <t>All figures presented in this spreadsheet have previosly been reported by Sampo Bank Plc.</t>
  </si>
  <si>
    <t xml:space="preserve">The spreadsheet contains information on: </t>
  </si>
</sst>
</file>

<file path=xl/styles.xml><?xml version="1.0" encoding="utf-8"?>
<styleSheet xmlns="http://schemas.openxmlformats.org/spreadsheetml/2006/main">
  <numFmts count="35">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00000"/>
    <numFmt numFmtId="182" formatCode="0.0000"/>
    <numFmt numFmtId="183" formatCode="0.000"/>
    <numFmt numFmtId="184" formatCode="0.0"/>
    <numFmt numFmtId="185" formatCode="0.0%"/>
    <numFmt numFmtId="186" formatCode="0.000000"/>
    <numFmt numFmtId="187" formatCode="#,##0.0;\(#,##0.0\);\-"/>
    <numFmt numFmtId="188" formatCode="0.0000000"/>
    <numFmt numFmtId="189" formatCode="_(* #,##0.0_);_(* \(#,##0.0\);_(* &quot;-&quot;??_);_(@_)"/>
    <numFmt numFmtId="190" formatCode="_(* #,##0_);_(* \(#,##0\);_(* &quot;-&quot;??_);_(@_)"/>
  </numFmts>
  <fonts count="45">
    <font>
      <sz val="10"/>
      <name val="Danske Text"/>
      <family val="0"/>
    </font>
    <font>
      <sz val="8"/>
      <name val="Danske Text"/>
      <family val="0"/>
    </font>
    <font>
      <b/>
      <sz val="10"/>
      <name val="Danske Text"/>
      <family val="0"/>
    </font>
    <font>
      <b/>
      <sz val="11"/>
      <name val="Danske Text"/>
      <family val="0"/>
    </font>
    <font>
      <i/>
      <sz val="10"/>
      <name val="Danske Text"/>
      <family val="0"/>
    </font>
    <font>
      <sz val="10"/>
      <color indexed="10"/>
      <name val="Danske Text"/>
      <family val="0"/>
    </font>
    <font>
      <b/>
      <sz val="12"/>
      <name val="Danske Text"/>
      <family val="0"/>
    </font>
    <font>
      <u val="single"/>
      <sz val="10"/>
      <color indexed="12"/>
      <name val="Danske Text"/>
      <family val="0"/>
    </font>
    <font>
      <u val="single"/>
      <sz val="10"/>
      <color indexed="36"/>
      <name val="Danske Tex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Danske Text"/>
      <family val="0"/>
    </font>
    <font>
      <sz val="10"/>
      <color indexed="8"/>
      <name val="Danske Tex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1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8"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40">
    <xf numFmtId="0" fontId="0" fillId="0" borderId="0" xfId="0" applyAlignment="1">
      <alignment/>
    </xf>
    <xf numFmtId="0" fontId="0" fillId="33" borderId="0" xfId="0" applyFill="1" applyAlignment="1">
      <alignment/>
    </xf>
    <xf numFmtId="0" fontId="0" fillId="33" borderId="0" xfId="0" applyFont="1" applyFill="1" applyAlignment="1">
      <alignment/>
    </xf>
    <xf numFmtId="0" fontId="0" fillId="33" borderId="0" xfId="0" applyFont="1" applyFill="1" applyBorder="1" applyAlignment="1">
      <alignment/>
    </xf>
    <xf numFmtId="0" fontId="2" fillId="33" borderId="10" xfId="0" applyFont="1" applyFill="1" applyBorder="1" applyAlignment="1">
      <alignment/>
    </xf>
    <xf numFmtId="0" fontId="3" fillId="33" borderId="10" xfId="0" applyFont="1" applyFill="1" applyBorder="1" applyAlignment="1">
      <alignment/>
    </xf>
    <xf numFmtId="0" fontId="3" fillId="33" borderId="10" xfId="0" applyFont="1" applyFill="1" applyBorder="1" applyAlignment="1">
      <alignment horizontal="right"/>
    </xf>
    <xf numFmtId="0" fontId="0" fillId="33" borderId="10" xfId="0" applyFill="1" applyBorder="1" applyAlignment="1">
      <alignment/>
    </xf>
    <xf numFmtId="0" fontId="0" fillId="33" borderId="0" xfId="0" applyFill="1" applyBorder="1" applyAlignment="1">
      <alignment/>
    </xf>
    <xf numFmtId="0" fontId="0" fillId="33" borderId="11" xfId="0" applyFill="1" applyBorder="1" applyAlignment="1">
      <alignment/>
    </xf>
    <xf numFmtId="0" fontId="0" fillId="33" borderId="0" xfId="0" applyFont="1" applyFill="1" applyAlignment="1">
      <alignment wrapText="1"/>
    </xf>
    <xf numFmtId="0" fontId="0" fillId="33" borderId="12" xfId="0" applyFont="1" applyFill="1" applyBorder="1" applyAlignment="1">
      <alignment/>
    </xf>
    <xf numFmtId="0" fontId="0" fillId="33" borderId="12" xfId="0" applyFill="1" applyBorder="1" applyAlignment="1">
      <alignment/>
    </xf>
    <xf numFmtId="0" fontId="5" fillId="33" borderId="0" xfId="0" applyFont="1" applyFill="1" applyAlignment="1" applyProtection="1">
      <alignment/>
      <protection/>
    </xf>
    <xf numFmtId="0" fontId="5" fillId="33" borderId="0" xfId="0" applyFont="1" applyFill="1" applyAlignment="1">
      <alignment/>
    </xf>
    <xf numFmtId="0" fontId="4" fillId="33" borderId="0" xfId="0" applyFont="1" applyFill="1" applyAlignment="1">
      <alignment/>
    </xf>
    <xf numFmtId="0" fontId="6" fillId="33" borderId="0" xfId="0" applyFont="1" applyFill="1" applyAlignment="1">
      <alignment/>
    </xf>
    <xf numFmtId="0" fontId="0" fillId="33" borderId="0" xfId="0" applyFont="1" applyFill="1" applyAlignment="1" applyProtection="1">
      <alignment wrapText="1"/>
      <protection/>
    </xf>
    <xf numFmtId="0" fontId="4" fillId="33" borderId="0" xfId="0" applyFont="1" applyFill="1" applyBorder="1" applyAlignment="1">
      <alignment horizontal="left"/>
    </xf>
    <xf numFmtId="0" fontId="0" fillId="33" borderId="0" xfId="0" applyFill="1" applyAlignment="1">
      <alignment horizontal="center" wrapText="1"/>
    </xf>
    <xf numFmtId="0" fontId="0" fillId="33" borderId="0" xfId="0" applyFill="1" applyAlignment="1">
      <alignment horizontal="center"/>
    </xf>
    <xf numFmtId="180" fontId="2" fillId="34" borderId="10" xfId="0" applyNumberFormat="1" applyFont="1" applyFill="1" applyBorder="1" applyAlignment="1">
      <alignment/>
    </xf>
    <xf numFmtId="180" fontId="2" fillId="33" borderId="10" xfId="0" applyNumberFormat="1" applyFont="1" applyFill="1" applyBorder="1" applyAlignment="1">
      <alignment/>
    </xf>
    <xf numFmtId="0" fontId="0" fillId="33" borderId="13" xfId="0" applyFill="1" applyBorder="1" applyAlignment="1">
      <alignment/>
    </xf>
    <xf numFmtId="180" fontId="0" fillId="34" borderId="0" xfId="0" applyNumberFormat="1" applyFont="1" applyFill="1" applyAlignment="1" applyProtection="1">
      <alignment/>
      <protection locked="0"/>
    </xf>
    <xf numFmtId="180" fontId="0" fillId="33" borderId="0" xfId="0" applyNumberFormat="1" applyFont="1" applyFill="1" applyAlignment="1" applyProtection="1">
      <alignment/>
      <protection locked="0"/>
    </xf>
    <xf numFmtId="180" fontId="0" fillId="34" borderId="0" xfId="0" applyNumberFormat="1" applyFont="1" applyFill="1" applyAlignment="1" applyProtection="1">
      <alignment horizontal="right"/>
      <protection locked="0"/>
    </xf>
    <xf numFmtId="180" fontId="0" fillId="33" borderId="0" xfId="0" applyNumberFormat="1" applyFont="1" applyFill="1" applyAlignment="1">
      <alignment/>
    </xf>
    <xf numFmtId="180" fontId="0" fillId="34" borderId="0" xfId="0" applyNumberFormat="1" applyFont="1" applyFill="1" applyAlignment="1">
      <alignment horizontal="right"/>
    </xf>
    <xf numFmtId="180" fontId="0" fillId="33" borderId="0" xfId="0" applyNumberFormat="1" applyFont="1" applyFill="1" applyAlignment="1">
      <alignment horizontal="right"/>
    </xf>
    <xf numFmtId="180" fontId="0" fillId="34" borderId="10" xfId="0" applyNumberFormat="1" applyFont="1" applyFill="1" applyBorder="1" applyAlignment="1">
      <alignment/>
    </xf>
    <xf numFmtId="180" fontId="0" fillId="33" borderId="10" xfId="0" applyNumberFormat="1" applyFont="1" applyFill="1" applyBorder="1" applyAlignment="1">
      <alignment/>
    </xf>
    <xf numFmtId="180" fontId="0" fillId="33" borderId="0" xfId="0" applyNumberFormat="1" applyFont="1" applyFill="1" applyBorder="1" applyAlignment="1" applyProtection="1">
      <alignment/>
      <protection locked="0"/>
    </xf>
    <xf numFmtId="180" fontId="0" fillId="34" borderId="0" xfId="0" applyNumberFormat="1" applyFont="1" applyFill="1" applyAlignment="1">
      <alignment/>
    </xf>
    <xf numFmtId="180" fontId="0" fillId="33" borderId="11" xfId="0" applyNumberFormat="1" applyFont="1" applyFill="1" applyBorder="1" applyAlignment="1">
      <alignment/>
    </xf>
    <xf numFmtId="180" fontId="0" fillId="34" borderId="10" xfId="0" applyNumberFormat="1" applyFont="1" applyFill="1" applyBorder="1" applyAlignment="1" applyProtection="1">
      <alignment/>
      <protection locked="0"/>
    </xf>
    <xf numFmtId="180" fontId="0" fillId="34" borderId="12" xfId="0" applyNumberFormat="1" applyFont="1" applyFill="1" applyBorder="1" applyAlignment="1">
      <alignment/>
    </xf>
    <xf numFmtId="180" fontId="0" fillId="33" borderId="12" xfId="0" applyNumberFormat="1" applyFont="1" applyFill="1" applyBorder="1" applyAlignment="1">
      <alignment/>
    </xf>
    <xf numFmtId="180" fontId="0" fillId="33" borderId="10" xfId="0" applyNumberFormat="1" applyFont="1" applyFill="1" applyBorder="1" applyAlignment="1" applyProtection="1">
      <alignment/>
      <protection locked="0"/>
    </xf>
    <xf numFmtId="180" fontId="2" fillId="33" borderId="10" xfId="0" applyNumberFormat="1" applyFont="1" applyFill="1" applyBorder="1" applyAlignment="1" applyProtection="1">
      <alignment/>
      <protection locked="0"/>
    </xf>
    <xf numFmtId="180" fontId="0" fillId="33" borderId="0" xfId="0" applyNumberFormat="1" applyFont="1" applyFill="1" applyAlignment="1">
      <alignment/>
    </xf>
    <xf numFmtId="0" fontId="0" fillId="33" borderId="0" xfId="0" applyFont="1" applyFill="1" applyAlignment="1">
      <alignment/>
    </xf>
    <xf numFmtId="3" fontId="0" fillId="34" borderId="0" xfId="0" applyNumberFormat="1" applyFont="1" applyFill="1" applyAlignment="1" applyProtection="1">
      <alignment/>
      <protection locked="0"/>
    </xf>
    <xf numFmtId="3" fontId="0" fillId="33" borderId="0" xfId="0" applyNumberFormat="1" applyFont="1" applyFill="1" applyAlignment="1" applyProtection="1">
      <alignment/>
      <protection locked="0"/>
    </xf>
    <xf numFmtId="3" fontId="0" fillId="33" borderId="0" xfId="0" applyNumberFormat="1" applyFont="1" applyFill="1" applyAlignment="1" applyProtection="1">
      <alignment/>
      <protection/>
    </xf>
    <xf numFmtId="3" fontId="0" fillId="34" borderId="0" xfId="0" applyNumberFormat="1" applyFont="1" applyFill="1" applyBorder="1" applyAlignment="1" applyProtection="1">
      <alignment/>
      <protection locked="0"/>
    </xf>
    <xf numFmtId="3" fontId="0" fillId="33" borderId="0" xfId="0" applyNumberFormat="1" applyFont="1" applyFill="1" applyBorder="1" applyAlignment="1" applyProtection="1">
      <alignment/>
      <protection locked="0"/>
    </xf>
    <xf numFmtId="3" fontId="0" fillId="33" borderId="0" xfId="0" applyNumberFormat="1" applyFont="1" applyFill="1" applyBorder="1" applyAlignment="1">
      <alignment/>
    </xf>
    <xf numFmtId="3" fontId="0" fillId="33" borderId="0" xfId="0" applyNumberFormat="1" applyFont="1" applyFill="1" applyBorder="1" applyAlignment="1" applyProtection="1">
      <alignment/>
      <protection/>
    </xf>
    <xf numFmtId="3" fontId="0" fillId="34" borderId="12" xfId="0" applyNumberFormat="1" applyFont="1" applyFill="1" applyBorder="1" applyAlignment="1" applyProtection="1">
      <alignment/>
      <protection locked="0"/>
    </xf>
    <xf numFmtId="3" fontId="0" fillId="33" borderId="12" xfId="0" applyNumberFormat="1" applyFont="1" applyFill="1" applyBorder="1" applyAlignment="1" applyProtection="1">
      <alignment/>
      <protection locked="0"/>
    </xf>
    <xf numFmtId="3" fontId="0" fillId="33" borderId="12" xfId="0" applyNumberFormat="1" applyFont="1" applyFill="1" applyBorder="1" applyAlignment="1" applyProtection="1">
      <alignment/>
      <protection/>
    </xf>
    <xf numFmtId="185" fontId="0" fillId="34" borderId="0" xfId="0" applyNumberFormat="1" applyFont="1" applyFill="1" applyAlignment="1">
      <alignment/>
    </xf>
    <xf numFmtId="185" fontId="0" fillId="33" borderId="0" xfId="0" applyNumberFormat="1" applyFont="1" applyFill="1" applyAlignment="1">
      <alignment/>
    </xf>
    <xf numFmtId="180" fontId="0" fillId="34" borderId="11" xfId="0" applyNumberFormat="1" applyFont="1" applyFill="1" applyBorder="1" applyAlignment="1" applyProtection="1">
      <alignment/>
      <protection locked="0"/>
    </xf>
    <xf numFmtId="180" fontId="0" fillId="33" borderId="11" xfId="0" applyNumberFormat="1" applyFont="1" applyFill="1" applyBorder="1" applyAlignment="1" applyProtection="1">
      <alignment/>
      <protection locked="0"/>
    </xf>
    <xf numFmtId="180" fontId="0" fillId="34" borderId="0" xfId="0" applyNumberFormat="1" applyFont="1" applyFill="1" applyBorder="1" applyAlignment="1">
      <alignment/>
    </xf>
    <xf numFmtId="180" fontId="0" fillId="33" borderId="0" xfId="0" applyNumberFormat="1" applyFont="1" applyFill="1" applyBorder="1" applyAlignment="1">
      <alignment/>
    </xf>
    <xf numFmtId="180" fontId="0" fillId="34" borderId="0" xfId="0" applyNumberFormat="1" applyFont="1" applyFill="1" applyBorder="1" applyAlignment="1" applyProtection="1">
      <alignment/>
      <protection locked="0"/>
    </xf>
    <xf numFmtId="180" fontId="0" fillId="34" borderId="11" xfId="0" applyNumberFormat="1" applyFont="1" applyFill="1" applyBorder="1" applyAlignment="1">
      <alignment/>
    </xf>
    <xf numFmtId="0" fontId="0" fillId="33" borderId="0" xfId="0" applyFont="1" applyFill="1" applyAlignment="1" applyProtection="1">
      <alignment/>
      <protection/>
    </xf>
    <xf numFmtId="3" fontId="0" fillId="33" borderId="0" xfId="0" applyNumberFormat="1" applyFont="1" applyFill="1" applyAlignment="1">
      <alignment/>
    </xf>
    <xf numFmtId="185" fontId="0" fillId="34" borderId="0" xfId="0" applyNumberFormat="1" applyFont="1" applyFill="1" applyAlignment="1" applyProtection="1">
      <alignment horizontal="right"/>
      <protection/>
    </xf>
    <xf numFmtId="185" fontId="0" fillId="34" borderId="0" xfId="0" applyNumberFormat="1" applyFont="1" applyFill="1" applyAlignment="1" applyProtection="1">
      <alignment/>
      <protection/>
    </xf>
    <xf numFmtId="185" fontId="0" fillId="33" borderId="0" xfId="0" applyNumberFormat="1" applyFont="1" applyFill="1" applyAlignment="1" applyProtection="1">
      <alignment/>
      <protection/>
    </xf>
    <xf numFmtId="185" fontId="0" fillId="34" borderId="0" xfId="0" applyNumberFormat="1" applyFont="1" applyFill="1" applyBorder="1" applyAlignment="1">
      <alignment/>
    </xf>
    <xf numFmtId="0" fontId="0" fillId="33" borderId="0" xfId="0" applyFont="1" applyFill="1" applyBorder="1" applyAlignment="1">
      <alignment/>
    </xf>
    <xf numFmtId="3" fontId="0" fillId="33" borderId="0" xfId="0" applyNumberFormat="1" applyFont="1" applyFill="1" applyAlignment="1">
      <alignment/>
    </xf>
    <xf numFmtId="3" fontId="0" fillId="33" borderId="0" xfId="0" applyNumberFormat="1" applyFont="1" applyFill="1" applyAlignment="1">
      <alignment horizontal="right"/>
    </xf>
    <xf numFmtId="3" fontId="0" fillId="33" borderId="10" xfId="0" applyNumberFormat="1" applyFont="1" applyFill="1" applyBorder="1" applyAlignment="1">
      <alignment/>
    </xf>
    <xf numFmtId="3" fontId="0" fillId="33" borderId="0" xfId="0" applyNumberFormat="1" applyFont="1" applyFill="1" applyBorder="1" applyAlignment="1">
      <alignment/>
    </xf>
    <xf numFmtId="3" fontId="0" fillId="33" borderId="11" xfId="0" applyNumberFormat="1" applyFont="1" applyFill="1" applyBorder="1" applyAlignment="1">
      <alignment/>
    </xf>
    <xf numFmtId="180" fontId="0" fillId="34" borderId="11" xfId="0" applyNumberFormat="1" applyFont="1" applyFill="1" applyBorder="1" applyAlignment="1" applyProtection="1">
      <alignment/>
      <protection/>
    </xf>
    <xf numFmtId="3" fontId="0" fillId="33" borderId="0" xfId="0" applyNumberFormat="1" applyFont="1" applyFill="1" applyAlignment="1" applyProtection="1">
      <alignment/>
      <protection locked="0"/>
    </xf>
    <xf numFmtId="180" fontId="0" fillId="34" borderId="0" xfId="0" applyNumberFormat="1" applyFont="1" applyFill="1" applyBorder="1" applyAlignment="1" applyProtection="1">
      <alignment/>
      <protection/>
    </xf>
    <xf numFmtId="3" fontId="0" fillId="33" borderId="0" xfId="0" applyNumberFormat="1" applyFont="1" applyFill="1" applyBorder="1" applyAlignment="1" applyProtection="1">
      <alignment/>
      <protection locked="0"/>
    </xf>
    <xf numFmtId="180" fontId="0" fillId="33" borderId="12" xfId="0" applyNumberFormat="1" applyFont="1" applyFill="1" applyBorder="1" applyAlignment="1" applyProtection="1">
      <alignment/>
      <protection/>
    </xf>
    <xf numFmtId="180" fontId="0" fillId="34" borderId="0" xfId="0" applyNumberFormat="1" applyFont="1" applyFill="1" applyAlignment="1" applyProtection="1">
      <alignment/>
      <protection locked="0"/>
    </xf>
    <xf numFmtId="180" fontId="0" fillId="33" borderId="0" xfId="0" applyNumberFormat="1" applyFont="1" applyFill="1" applyAlignment="1" applyProtection="1">
      <alignment/>
      <protection locked="0"/>
    </xf>
    <xf numFmtId="180" fontId="0" fillId="34" borderId="0" xfId="0" applyNumberFormat="1" applyFont="1" applyFill="1" applyAlignment="1">
      <alignment/>
    </xf>
    <xf numFmtId="180" fontId="0" fillId="34" borderId="0" xfId="0" applyNumberFormat="1" applyFont="1" applyFill="1" applyAlignment="1">
      <alignment horizontal="right"/>
    </xf>
    <xf numFmtId="180" fontId="0" fillId="33" borderId="0" xfId="0" applyNumberFormat="1" applyFont="1" applyFill="1" applyAlignment="1">
      <alignment horizontal="right"/>
    </xf>
    <xf numFmtId="180" fontId="0" fillId="33" borderId="10" xfId="0" applyNumberFormat="1" applyFont="1" applyFill="1" applyBorder="1" applyAlignment="1">
      <alignment/>
    </xf>
    <xf numFmtId="180" fontId="0" fillId="34" borderId="11" xfId="0" applyNumberFormat="1" applyFont="1" applyFill="1" applyBorder="1" applyAlignment="1" applyProtection="1">
      <alignment/>
      <protection locked="0"/>
    </xf>
    <xf numFmtId="180" fontId="0" fillId="33" borderId="11" xfId="0" applyNumberFormat="1" applyFont="1" applyFill="1" applyBorder="1" applyAlignment="1" applyProtection="1">
      <alignment/>
      <protection locked="0"/>
    </xf>
    <xf numFmtId="180" fontId="0" fillId="34" borderId="0" xfId="0" applyNumberFormat="1" applyFont="1" applyFill="1" applyBorder="1" applyAlignment="1">
      <alignment/>
    </xf>
    <xf numFmtId="180" fontId="0" fillId="33" borderId="0" xfId="0" applyNumberFormat="1" applyFont="1" applyFill="1" applyBorder="1" applyAlignment="1">
      <alignment/>
    </xf>
    <xf numFmtId="180" fontId="0" fillId="34" borderId="0" xfId="0" applyNumberFormat="1" applyFont="1" applyFill="1" applyBorder="1" applyAlignment="1" applyProtection="1">
      <alignment/>
      <protection locked="0"/>
    </xf>
    <xf numFmtId="180" fontId="0" fillId="33" borderId="0" xfId="0" applyNumberFormat="1" applyFont="1" applyFill="1" applyBorder="1" applyAlignment="1" applyProtection="1">
      <alignment/>
      <protection locked="0"/>
    </xf>
    <xf numFmtId="180" fontId="0" fillId="34" borderId="11" xfId="0" applyNumberFormat="1" applyFont="1" applyFill="1" applyBorder="1" applyAlignment="1">
      <alignment/>
    </xf>
    <xf numFmtId="180" fontId="0" fillId="33" borderId="11" xfId="0" applyNumberFormat="1" applyFont="1" applyFill="1" applyBorder="1" applyAlignment="1">
      <alignment/>
    </xf>
    <xf numFmtId="180" fontId="0" fillId="34" borderId="12" xfId="0" applyNumberFormat="1" applyFont="1" applyFill="1" applyBorder="1" applyAlignment="1">
      <alignment/>
    </xf>
    <xf numFmtId="180" fontId="0" fillId="33" borderId="12" xfId="0" applyNumberFormat="1" applyFont="1" applyFill="1" applyBorder="1" applyAlignment="1">
      <alignment/>
    </xf>
    <xf numFmtId="3" fontId="0" fillId="34" borderId="0" xfId="0" applyNumberFormat="1" applyFont="1" applyFill="1" applyAlignment="1">
      <alignment/>
    </xf>
    <xf numFmtId="0" fontId="3" fillId="33" borderId="0" xfId="0" applyFont="1" applyFill="1" applyBorder="1" applyAlignment="1">
      <alignment horizontal="right"/>
    </xf>
    <xf numFmtId="180" fontId="2" fillId="33" borderId="0" xfId="0" applyNumberFormat="1" applyFont="1" applyFill="1" applyBorder="1" applyAlignment="1" applyProtection="1">
      <alignment/>
      <protection locked="0"/>
    </xf>
    <xf numFmtId="0" fontId="0" fillId="35" borderId="0" xfId="0" applyFill="1" applyAlignment="1">
      <alignment/>
    </xf>
    <xf numFmtId="0" fontId="3" fillId="35" borderId="0" xfId="0" applyFont="1" applyFill="1" applyBorder="1" applyAlignment="1">
      <alignment horizontal="right"/>
    </xf>
    <xf numFmtId="180" fontId="0" fillId="35" borderId="0" xfId="0" applyNumberFormat="1" applyFont="1" applyFill="1" applyAlignment="1" applyProtection="1">
      <alignment/>
      <protection locked="0"/>
    </xf>
    <xf numFmtId="180" fontId="0" fillId="35" borderId="0" xfId="0" applyNumberFormat="1" applyFont="1" applyFill="1" applyAlignment="1">
      <alignment/>
    </xf>
    <xf numFmtId="180" fontId="0" fillId="35" borderId="0" xfId="0" applyNumberFormat="1" applyFont="1" applyFill="1" applyAlignment="1">
      <alignment horizontal="right"/>
    </xf>
    <xf numFmtId="180" fontId="0" fillId="35" borderId="0" xfId="0" applyNumberFormat="1" applyFont="1" applyFill="1" applyBorder="1" applyAlignment="1">
      <alignment/>
    </xf>
    <xf numFmtId="180" fontId="0" fillId="35" borderId="0" xfId="0" applyNumberFormat="1" applyFont="1" applyFill="1" applyBorder="1" applyAlignment="1" applyProtection="1">
      <alignment/>
      <protection locked="0"/>
    </xf>
    <xf numFmtId="180" fontId="2" fillId="35" borderId="0" xfId="0" applyNumberFormat="1" applyFont="1" applyFill="1" applyBorder="1" applyAlignment="1" applyProtection="1">
      <alignment/>
      <protection locked="0"/>
    </xf>
    <xf numFmtId="180" fontId="0" fillId="35" borderId="0" xfId="0" applyNumberFormat="1" applyFont="1" applyFill="1" applyAlignment="1">
      <alignment/>
    </xf>
    <xf numFmtId="0" fontId="0" fillId="35" borderId="0" xfId="0" applyFont="1" applyFill="1" applyAlignment="1">
      <alignment/>
    </xf>
    <xf numFmtId="3" fontId="0" fillId="35" borderId="0" xfId="0" applyNumberFormat="1" applyFont="1" applyFill="1" applyAlignment="1" applyProtection="1">
      <alignment/>
      <protection locked="0"/>
    </xf>
    <xf numFmtId="3" fontId="0" fillId="35" borderId="0" xfId="0" applyNumberFormat="1" applyFont="1" applyFill="1" applyBorder="1" applyAlignment="1" applyProtection="1">
      <alignment/>
      <protection locked="0"/>
    </xf>
    <xf numFmtId="185" fontId="0" fillId="35" borderId="0" xfId="0" applyNumberFormat="1" applyFont="1" applyFill="1" applyAlignment="1">
      <alignment/>
    </xf>
    <xf numFmtId="0" fontId="0" fillId="35" borderId="0" xfId="0" applyFill="1" applyAlignment="1">
      <alignment horizontal="center"/>
    </xf>
    <xf numFmtId="180" fontId="0" fillId="35" borderId="0" xfId="0" applyNumberFormat="1" applyFont="1" applyFill="1" applyAlignment="1" applyProtection="1">
      <alignment/>
      <protection locked="0"/>
    </xf>
    <xf numFmtId="180" fontId="0" fillId="35" borderId="0" xfId="0" applyNumberFormat="1" applyFont="1" applyFill="1" applyAlignment="1">
      <alignment horizontal="right"/>
    </xf>
    <xf numFmtId="180" fontId="0" fillId="35" borderId="0" xfId="0" applyNumberFormat="1" applyFont="1" applyFill="1" applyBorder="1" applyAlignment="1">
      <alignment/>
    </xf>
    <xf numFmtId="180" fontId="0" fillId="35" borderId="0" xfId="0" applyNumberFormat="1" applyFont="1" applyFill="1" applyBorder="1" applyAlignment="1" applyProtection="1">
      <alignment/>
      <protection locked="0"/>
    </xf>
    <xf numFmtId="0" fontId="0" fillId="35" borderId="0" xfId="0" applyFont="1" applyFill="1" applyAlignment="1" applyProtection="1">
      <alignment/>
      <protection/>
    </xf>
    <xf numFmtId="0" fontId="0" fillId="35" borderId="0" xfId="0" applyFont="1" applyFill="1" applyBorder="1" applyAlignment="1">
      <alignment/>
    </xf>
    <xf numFmtId="0" fontId="0" fillId="35" borderId="0" xfId="0" applyFont="1" applyFill="1" applyAlignment="1">
      <alignment/>
    </xf>
    <xf numFmtId="0" fontId="0" fillId="35" borderId="0" xfId="0" applyFill="1" applyAlignment="1">
      <alignment horizontal="center" wrapText="1"/>
    </xf>
    <xf numFmtId="185" fontId="0" fillId="35" borderId="0" xfId="0" applyNumberFormat="1" applyFont="1" applyFill="1" applyAlignment="1" applyProtection="1">
      <alignment/>
      <protection/>
    </xf>
    <xf numFmtId="3" fontId="0" fillId="34" borderId="0" xfId="0" applyNumberFormat="1" applyFont="1" applyFill="1" applyBorder="1" applyAlignment="1" applyProtection="1">
      <alignment/>
      <protection/>
    </xf>
    <xf numFmtId="185" fontId="0" fillId="34" borderId="0" xfId="0" applyNumberFormat="1" applyFont="1" applyFill="1" applyAlignment="1">
      <alignment horizontal="right"/>
    </xf>
    <xf numFmtId="3" fontId="0" fillId="34" borderId="0" xfId="0" applyNumberFormat="1" applyFont="1" applyFill="1" applyAlignment="1" applyProtection="1">
      <alignment horizontal="right"/>
      <protection locked="0"/>
    </xf>
    <xf numFmtId="3" fontId="0" fillId="34" borderId="0" xfId="0" applyNumberFormat="1" applyFont="1" applyFill="1" applyAlignment="1">
      <alignment horizontal="right"/>
    </xf>
    <xf numFmtId="3" fontId="0" fillId="33" borderId="0" xfId="0" applyNumberFormat="1" applyFont="1" applyFill="1" applyAlignment="1">
      <alignment horizontal="right"/>
    </xf>
    <xf numFmtId="3" fontId="0" fillId="34" borderId="10" xfId="0" applyNumberFormat="1" applyFont="1" applyFill="1" applyBorder="1" applyAlignment="1">
      <alignment/>
    </xf>
    <xf numFmtId="3" fontId="0" fillId="33" borderId="10" xfId="0" applyNumberFormat="1" applyFont="1" applyFill="1" applyBorder="1" applyAlignment="1">
      <alignment/>
    </xf>
    <xf numFmtId="3" fontId="0" fillId="33" borderId="11" xfId="0" applyNumberFormat="1" applyFont="1" applyFill="1" applyBorder="1" applyAlignment="1">
      <alignment/>
    </xf>
    <xf numFmtId="3" fontId="0" fillId="34" borderId="10" xfId="0" applyNumberFormat="1" applyFont="1" applyFill="1" applyBorder="1" applyAlignment="1" applyProtection="1">
      <alignment/>
      <protection locked="0"/>
    </xf>
    <xf numFmtId="3" fontId="0" fillId="34" borderId="12" xfId="0" applyNumberFormat="1" applyFont="1" applyFill="1" applyBorder="1" applyAlignment="1">
      <alignment/>
    </xf>
    <xf numFmtId="3" fontId="0" fillId="33" borderId="12" xfId="0" applyNumberFormat="1" applyFont="1" applyFill="1" applyBorder="1" applyAlignment="1">
      <alignment/>
    </xf>
    <xf numFmtId="3" fontId="0" fillId="33" borderId="10" xfId="0" applyNumberFormat="1" applyFont="1" applyFill="1" applyBorder="1" applyAlignment="1" applyProtection="1">
      <alignment/>
      <protection locked="0"/>
    </xf>
    <xf numFmtId="3" fontId="2" fillId="34" borderId="10" xfId="0" applyNumberFormat="1" applyFont="1" applyFill="1" applyBorder="1" applyAlignment="1">
      <alignment/>
    </xf>
    <xf numFmtId="3" fontId="2" fillId="33" borderId="10" xfId="0" applyNumberFormat="1" applyFont="1" applyFill="1" applyBorder="1" applyAlignment="1" applyProtection="1">
      <alignment/>
      <protection locked="0"/>
    </xf>
    <xf numFmtId="3" fontId="2" fillId="33" borderId="10" xfId="0" applyNumberFormat="1" applyFont="1" applyFill="1" applyBorder="1" applyAlignment="1">
      <alignment/>
    </xf>
    <xf numFmtId="3" fontId="3" fillId="33" borderId="10" xfId="0" applyNumberFormat="1" applyFont="1" applyFill="1" applyBorder="1" applyAlignment="1">
      <alignment horizontal="right"/>
    </xf>
    <xf numFmtId="190" fontId="0" fillId="34" borderId="0" xfId="42" applyNumberFormat="1" applyFont="1" applyFill="1" applyAlignment="1">
      <alignment/>
    </xf>
    <xf numFmtId="0" fontId="0" fillId="33" borderId="0" xfId="0" applyFont="1" applyFill="1" applyAlignment="1">
      <alignment horizontal="center" wrapText="1"/>
    </xf>
    <xf numFmtId="0" fontId="0" fillId="36" borderId="13" xfId="0" applyFill="1" applyBorder="1" applyAlignment="1">
      <alignment/>
    </xf>
    <xf numFmtId="185" fontId="0" fillId="33" borderId="0" xfId="0" applyNumberFormat="1" applyFont="1" applyFill="1" applyAlignment="1">
      <alignment horizontal="right"/>
    </xf>
    <xf numFmtId="2" fontId="0" fillId="33" borderId="0" xfId="0" applyNumberForma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2</xdr:row>
      <xdr:rowOff>95250</xdr:rowOff>
    </xdr:from>
    <xdr:ext cx="8705850" cy="4638675"/>
    <xdr:sp>
      <xdr:nvSpPr>
        <xdr:cNvPr id="1" name="Text Box 1"/>
        <xdr:cNvSpPr txBox="1">
          <a:spLocks noChangeArrowheads="1"/>
        </xdr:cNvSpPr>
      </xdr:nvSpPr>
      <xdr:spPr>
        <a:xfrm>
          <a:off x="790575" y="419100"/>
          <a:ext cx="8705850" cy="4638675"/>
        </a:xfrm>
        <a:prstGeom prst="rect">
          <a:avLst/>
        </a:prstGeom>
        <a:noFill/>
        <a:ln w="28575" cmpd="sng">
          <a:solidFill>
            <a:srgbClr val="FF0000"/>
          </a:solidFill>
          <a:headEnd type="none"/>
          <a:tailEnd type="none"/>
        </a:ln>
      </xdr:spPr>
      <xdr:txBody>
        <a:bodyPr vertOverflow="clip" wrap="square"/>
        <a:p>
          <a:pPr algn="ctr">
            <a:defRPr/>
          </a:pPr>
          <a:r>
            <a:rPr lang="en-US" cap="none" sz="1200" b="0" i="0" u="none" baseline="0">
              <a:solidFill>
                <a:srgbClr val="000000"/>
              </a:solidFill>
              <a:latin typeface="Danske Text"/>
              <a:ea typeface="Danske Text"/>
              <a:cs typeface="Danske Text"/>
            </a:rPr>
            <a:t>This presentation is not for release, publication or distribution in Australia, Canada, the Hong Kong Special Administrative Region of the People's Republic of China, Japan, South Africa or the United States. These materials are not an offer for sale of securities in the United States. Securities may not be offered or sold in the United States absent registration or an exemption from registration under the US Securities Act of 1933, as amended. The issuer of the securities has not registered, and does not intend to register, any portion of the offering in the United States, and does not intend to conduct a public offering of securities in the United States. 
</a:t>
          </a:r>
          <a:r>
            <a:rPr lang="en-US" cap="none" sz="1200" b="0" i="0" u="none" baseline="0">
              <a:solidFill>
                <a:srgbClr val="000000"/>
              </a:solidFill>
              <a:latin typeface="Danske Text"/>
              <a:ea typeface="Danske Text"/>
              <a:cs typeface="Danske Text"/>
            </a:rPr>
            <a:t>
</a:t>
          </a:r>
          <a:r>
            <a:rPr lang="en-US" cap="none" sz="1200" b="0" i="0" u="none" baseline="0">
              <a:solidFill>
                <a:srgbClr val="000000"/>
              </a:solidFill>
              <a:latin typeface="Danske Text"/>
              <a:ea typeface="Danske Text"/>
              <a:cs typeface="Danske Text"/>
            </a:rPr>
            <a:t>This statement is intended only for (i) persons outside the United Kingdom, (ii) investment professionals and (iii) persons who fall within the provisions of Article 49(2)(a) to (d) ("high net worth companies, unincorporated associations etc.") of the Financial Services and Markets Act 2000 (Financial Promotion) Order 2005. 
</a:t>
          </a:r>
          <a:r>
            <a:rPr lang="en-US" cap="none" sz="1200" b="0" i="0" u="none" baseline="0">
              <a:solidFill>
                <a:srgbClr val="000000"/>
              </a:solidFill>
              <a:latin typeface="Danske Text"/>
              <a:ea typeface="Danske Text"/>
              <a:cs typeface="Danske Text"/>
            </a:rPr>
            <a:t>
</a:t>
          </a:r>
          <a:r>
            <a:rPr lang="en-US" cap="none" sz="1200" b="0" i="0" u="none" baseline="0">
              <a:solidFill>
                <a:srgbClr val="000000"/>
              </a:solidFill>
              <a:latin typeface="Danske Text"/>
              <a:ea typeface="Danske Text"/>
              <a:cs typeface="Danske Text"/>
            </a:rPr>
            <a:t>Certain statements made in this presentation are forward looking statements.  Any statements other than statements of historical fact, including without limitation those regarding Danske Bank</a:t>
          </a:r>
          <a:r>
            <a:rPr lang="en-US" cap="none" sz="1000" b="0" i="0" u="none" baseline="0">
              <a:solidFill>
                <a:srgbClr val="000000"/>
              </a:solidFill>
              <a:latin typeface="Danske Text"/>
              <a:ea typeface="Danske Text"/>
              <a:cs typeface="Danske Text"/>
            </a:rPr>
            <a:t>’</a:t>
          </a:r>
          <a:r>
            <a:rPr lang="en-US" cap="none" sz="1200" b="0" i="0" u="none" baseline="0">
              <a:solidFill>
                <a:srgbClr val="000000"/>
              </a:solidFill>
              <a:latin typeface="Danske Text"/>
              <a:ea typeface="Danske Text"/>
              <a:cs typeface="Danske Text"/>
            </a:rPr>
            <a:t>s financial condition, future operating performance, business strategy, management plans and objectives for future operations and anticipated synergies and integration costs relating to the acquisition of Sampo Bank and prospects for the combined group are forward looking statements.  Such statements are based on current expectations and are subject to a number of risks and uncertainties that could cause actual results and performance to differ materially from any expected future results or performance, express or implied, by the forward looking statements.  Factors that might cause forward looking statements to differ materially from actual results include, among other things, general economic and business factors, competition, difficulties in integrating Sampo Bank and interest rate and currency fluctuations.  These statements may not be regarded as a representation that anticipated events will occur or that expected objectives will be achieved.  The information presented herein speaks only as of today</a:t>
          </a:r>
          <a:r>
            <a:rPr lang="en-US" cap="none" sz="1000" b="0" i="0" u="none" baseline="0">
              <a:solidFill>
                <a:srgbClr val="000000"/>
              </a:solidFill>
              <a:latin typeface="Danske Text"/>
              <a:ea typeface="Danske Text"/>
              <a:cs typeface="Danske Text"/>
            </a:rPr>
            <a:t>’</a:t>
          </a:r>
          <a:r>
            <a:rPr lang="en-US" cap="none" sz="1200" b="0" i="0" u="none" baseline="0">
              <a:solidFill>
                <a:srgbClr val="000000"/>
              </a:solidFill>
              <a:latin typeface="Danske Text"/>
              <a:ea typeface="Danske Text"/>
              <a:cs typeface="Danske Text"/>
            </a:rPr>
            <a:t>s date and Danske Bank assumes no responsibility to update any of the forward looking statements contained herein.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4"/>
  <dimension ref="A1:A1"/>
  <sheetViews>
    <sheetView tabSelected="1" zoomScalePageLayoutView="0" workbookViewId="0" topLeftCell="A1">
      <selection activeCell="A1" sqref="A1"/>
    </sheetView>
  </sheetViews>
  <sheetFormatPr defaultColWidth="9.00390625" defaultRowHeight="12.75"/>
  <cols>
    <col min="1" max="16384" width="9.00390625" style="1" customWidth="1"/>
  </cols>
  <sheetData/>
  <sheetProtection/>
  <printOptions/>
  <pageMargins left="0.75" right="0.75" top="1" bottom="1" header="0.5" footer="0.5"/>
  <pageSetup orientation="portrait" paperSize="9"/>
  <drawing r:id="rId2"/>
  <legacyDrawing r:id="rId1"/>
</worksheet>
</file>

<file path=xl/worksheets/sheet10.xml><?xml version="1.0" encoding="utf-8"?>
<worksheet xmlns="http://schemas.openxmlformats.org/spreadsheetml/2006/main" xmlns:r="http://schemas.openxmlformats.org/officeDocument/2006/relationships">
  <sheetPr codeName="Sheet3"/>
  <dimension ref="B2:G39"/>
  <sheetViews>
    <sheetView zoomScalePageLayoutView="0" workbookViewId="0" topLeftCell="A1">
      <selection activeCell="A1" sqref="A1"/>
    </sheetView>
  </sheetViews>
  <sheetFormatPr defaultColWidth="9.00390625" defaultRowHeight="12.75"/>
  <cols>
    <col min="1" max="1" width="9.00390625" style="1" customWidth="1"/>
    <col min="2" max="2" width="42.25390625" style="1" bestFit="1" customWidth="1"/>
    <col min="3" max="7" width="10.25390625" style="1" customWidth="1"/>
    <col min="8" max="16384" width="9.00390625" style="1" customWidth="1"/>
  </cols>
  <sheetData>
    <row r="2" ht="15">
      <c r="B2" s="16" t="s">
        <v>45</v>
      </c>
    </row>
    <row r="6" spans="2:7" ht="14.25">
      <c r="B6" s="5" t="s">
        <v>46</v>
      </c>
      <c r="C6" s="5">
        <v>2004</v>
      </c>
      <c r="D6" s="5">
        <v>2005</v>
      </c>
      <c r="E6" s="6" t="s">
        <v>24</v>
      </c>
      <c r="F6" s="6" t="s">
        <v>23</v>
      </c>
      <c r="G6" s="6" t="s">
        <v>22</v>
      </c>
    </row>
    <row r="7" spans="2:7" ht="12.75">
      <c r="B7" s="1" t="s">
        <v>0</v>
      </c>
      <c r="C7" s="24">
        <f>'Sampo Bank Group'!L7+'Danske Bank Group'!C7</f>
        <v>17069.822</v>
      </c>
      <c r="D7" s="24">
        <f>'Sampo Bank Group'!M7+'Danske Bank Group'!D7</f>
        <v>19724.78</v>
      </c>
      <c r="E7" s="25">
        <f>'Sampo Bank Group'!N7+'Danske Bank Group'!E7</f>
        <v>9520.058</v>
      </c>
      <c r="F7" s="25">
        <f>'Sampo Bank Group'!O7+'Danske Bank Group'!F7</f>
        <v>10204.722</v>
      </c>
      <c r="G7" s="25">
        <f>'Sampo Bank Group'!P7+'Danske Bank Group'!G7</f>
        <v>10630.292</v>
      </c>
    </row>
    <row r="8" spans="2:7" ht="12.75">
      <c r="B8" s="1" t="s">
        <v>1</v>
      </c>
      <c r="C8" s="26">
        <f>'Sampo Bank Group'!L8+'Danske Bank Group'!C8</f>
        <v>6972.986</v>
      </c>
      <c r="D8" s="24">
        <f>'Sampo Bank Group'!M8+'Danske Bank Group'!D8</f>
        <v>8436.094000000001</v>
      </c>
      <c r="E8" s="25">
        <f>'Sampo Bank Group'!N8+'Danske Bank Group'!E8</f>
        <v>3965.738</v>
      </c>
      <c r="F8" s="25">
        <f>'Sampo Bank Group'!O8+'Danske Bank Group'!F8</f>
        <v>4469.61</v>
      </c>
      <c r="G8" s="27">
        <f>'Sampo Bank Group'!P8+'Danske Bank Group'!G8</f>
        <v>4751.99</v>
      </c>
    </row>
    <row r="9" spans="2:7" ht="12.75">
      <c r="B9" s="1" t="s">
        <v>2</v>
      </c>
      <c r="C9" s="26">
        <f>'Sampo Bank Group'!L9+'Danske Bank Group'!C9</f>
        <v>5408.152</v>
      </c>
      <c r="D9" s="24">
        <f>'Sampo Bank Group'!M9+'Danske Bank Group'!D9</f>
        <v>6823.218</v>
      </c>
      <c r="E9" s="25">
        <f>'Sampo Bank Group'!N9+'Danske Bank Group'!E9</f>
        <v>3503.864</v>
      </c>
      <c r="F9" s="25">
        <f>'Sampo Bank Group'!O9+'Danske Bank Group'!F9</f>
        <v>3319.354</v>
      </c>
      <c r="G9" s="27">
        <f>'Sampo Bank Group'!P9+'Danske Bank Group'!G9</f>
        <v>3745.004</v>
      </c>
    </row>
    <row r="10" spans="2:7" ht="12.75">
      <c r="B10" s="1" t="s">
        <v>14</v>
      </c>
      <c r="C10" s="28">
        <f>'Danske Bank Group'!C10</f>
        <v>1631</v>
      </c>
      <c r="D10" s="26">
        <f>'Danske Bank Group'!D10</f>
        <v>1647</v>
      </c>
      <c r="E10" s="29">
        <f>'Danske Bank Group'!E10</f>
        <v>721</v>
      </c>
      <c r="F10" s="29">
        <f>'Danske Bank Group'!F10</f>
        <v>926</v>
      </c>
      <c r="G10" s="29">
        <f>'Danske Bank Group'!G10</f>
        <v>1234</v>
      </c>
    </row>
    <row r="11" spans="2:7" ht="12.75">
      <c r="B11" s="1" t="s">
        <v>3</v>
      </c>
      <c r="C11" s="30">
        <f>'Sampo Bank Group'!L11+'Danske Bank Group'!C11</f>
        <v>2623.5620000000004</v>
      </c>
      <c r="D11" s="30">
        <f>'Sampo Bank Group'!M11+'Danske Bank Group'!D11</f>
        <v>2875.1800000000007</v>
      </c>
      <c r="E11" s="31">
        <f>'Sampo Bank Group'!N11+'Danske Bank Group'!E11</f>
        <v>1365.718</v>
      </c>
      <c r="F11" s="31">
        <f>'Sampo Bank Group'!O11+'Danske Bank Group'!F11</f>
        <v>1510.2080000000005</v>
      </c>
      <c r="G11" s="31">
        <f>'Sampo Bank Group'!P11+'Danske Bank Group'!G11</f>
        <v>385.8580000000005</v>
      </c>
    </row>
    <row r="12" spans="2:7" ht="12.75">
      <c r="B12" s="9" t="s">
        <v>7</v>
      </c>
      <c r="C12" s="24">
        <f>'Sampo Bank Group'!L12+'Danske Bank Group'!C12</f>
        <v>33705.522</v>
      </c>
      <c r="D12" s="24">
        <f>'Sampo Bank Group'!M12+'Danske Bank Group'!D12</f>
        <v>39506.272</v>
      </c>
      <c r="E12" s="25">
        <f>'Sampo Bank Group'!N12+'Danske Bank Group'!E12</f>
        <v>19076.378</v>
      </c>
      <c r="F12" s="25">
        <f>'Sampo Bank Group'!O12+'Danske Bank Group'!F12</f>
        <v>20429.894</v>
      </c>
      <c r="G12" s="25">
        <f>'Sampo Bank Group'!P12+'Danske Bank Group'!G12</f>
        <v>20747.144</v>
      </c>
    </row>
    <row r="13" spans="2:7" ht="12.75">
      <c r="B13" s="18" t="s">
        <v>30</v>
      </c>
      <c r="C13" s="26"/>
      <c r="D13" s="24"/>
      <c r="E13" s="32"/>
      <c r="F13" s="32"/>
      <c r="G13" s="32"/>
    </row>
    <row r="14" spans="2:7" ht="12.75">
      <c r="B14" s="18" t="s">
        <v>31</v>
      </c>
      <c r="C14" s="26"/>
      <c r="D14" s="24"/>
      <c r="E14" s="32"/>
      <c r="F14" s="32"/>
      <c r="G14" s="32"/>
    </row>
    <row r="15" spans="2:7" ht="12.75">
      <c r="B15" s="8" t="s">
        <v>9</v>
      </c>
      <c r="C15" s="30">
        <f>'Sampo Bank Group'!L15+'Danske Bank Group'!C15</f>
        <v>-18256.148</v>
      </c>
      <c r="D15" s="30">
        <f>'Sampo Bank Group'!M15+'Danske Bank Group'!D15</f>
        <v>-21135.002</v>
      </c>
      <c r="E15" s="31">
        <f>'Sampo Bank Group'!N15+'Danske Bank Group'!E15</f>
        <v>-10133.588</v>
      </c>
      <c r="F15" s="31">
        <f>'Sampo Bank Group'!O15+'Danske Bank Group'!F15</f>
        <v>-11001.414</v>
      </c>
      <c r="G15" s="31">
        <f>'Sampo Bank Group'!P15+'Danske Bank Group'!G15</f>
        <v>-11416.008</v>
      </c>
    </row>
    <row r="16" spans="2:7" ht="12.75">
      <c r="B16" s="9" t="s">
        <v>10</v>
      </c>
      <c r="C16" s="33">
        <f>'Sampo Bank Group'!L16+'Danske Bank Group'!C16</f>
        <v>15449.374</v>
      </c>
      <c r="D16" s="33">
        <f>'Sampo Bank Group'!M16+'Danske Bank Group'!D16</f>
        <v>18371.27</v>
      </c>
      <c r="E16" s="27">
        <f>'Sampo Bank Group'!N16+'Danske Bank Group'!E16</f>
        <v>8942.79</v>
      </c>
      <c r="F16" s="34">
        <f>'Sampo Bank Group'!O16+'Danske Bank Group'!F16</f>
        <v>9428.48</v>
      </c>
      <c r="G16" s="27">
        <f>'Sampo Bank Group'!P16+'Danske Bank Group'!G16</f>
        <v>9331.136</v>
      </c>
    </row>
    <row r="17" spans="2:7" ht="12.75">
      <c r="B17" s="8" t="s">
        <v>4</v>
      </c>
      <c r="C17" s="35">
        <f>'Sampo Bank Group'!L17+'Danske Bank Group'!C17</f>
        <v>-685.892</v>
      </c>
      <c r="D17" s="35">
        <f>'Sampo Bank Group'!M17+'Danske Bank Group'!D17</f>
        <v>1117.634</v>
      </c>
      <c r="E17" s="32">
        <f>'Sampo Bank Group'!N17+'Danske Bank Group'!E17</f>
        <v>277.22</v>
      </c>
      <c r="F17" s="32">
        <f>'Sampo Bank Group'!O17+'Danske Bank Group'!F17</f>
        <v>840.414</v>
      </c>
      <c r="G17" s="32">
        <f>'Sampo Bank Group'!P17+'Danske Bank Group'!G17</f>
        <v>478.062</v>
      </c>
    </row>
    <row r="18" spans="2:7" ht="12.75">
      <c r="B18" s="12" t="s">
        <v>5</v>
      </c>
      <c r="C18" s="36">
        <f>'Sampo Bank Group'!L18+'Danske Bank Group'!C18</f>
        <v>14763.482</v>
      </c>
      <c r="D18" s="36">
        <f>'Sampo Bank Group'!M18+'Danske Bank Group'!D18</f>
        <v>19488.904</v>
      </c>
      <c r="E18" s="37">
        <f>'Sampo Bank Group'!N18+'Danske Bank Group'!E18</f>
        <v>9220.01</v>
      </c>
      <c r="F18" s="37">
        <f>'Sampo Bank Group'!O18+'Danske Bank Group'!F18</f>
        <v>10268.894</v>
      </c>
      <c r="G18" s="37">
        <f>'Sampo Bank Group'!P18+'Danske Bank Group'!G18</f>
        <v>9809.198</v>
      </c>
    </row>
    <row r="19" spans="2:7" ht="12.75">
      <c r="B19" s="7" t="s">
        <v>6</v>
      </c>
      <c r="C19" s="35">
        <f>'Sampo Bank Group'!L19+'Danske Bank Group'!C19</f>
        <v>-4191.71</v>
      </c>
      <c r="D19" s="35">
        <f>'Sampo Bank Group'!M19+'Danske Bank Group'!D19</f>
        <v>-5376.806</v>
      </c>
      <c r="E19" s="38">
        <f>'Sampo Bank Group'!N19+'Danske Bank Group'!E19</f>
        <v>-2568.34</v>
      </c>
      <c r="F19" s="38">
        <f>'Sampo Bank Group'!O19+'Danske Bank Group'!F19</f>
        <v>-2808.466</v>
      </c>
      <c r="G19" s="38">
        <f>'Sampo Bank Group'!P19+'Danske Bank Group'!G19</f>
        <v>-2716.59</v>
      </c>
    </row>
    <row r="20" spans="2:7" ht="12.75">
      <c r="B20" s="4" t="s">
        <v>11</v>
      </c>
      <c r="C20" s="21">
        <f>'Sampo Bank Group'!L20+'Danske Bank Group'!C20</f>
        <v>10571.772</v>
      </c>
      <c r="D20" s="21">
        <f>'Sampo Bank Group'!M20+'Danske Bank Group'!D20</f>
        <v>14112.098</v>
      </c>
      <c r="E20" s="39">
        <f>'Sampo Bank Group'!N20+'Danske Bank Group'!E20</f>
        <v>6652.416</v>
      </c>
      <c r="F20" s="22">
        <f>'Sampo Bank Group'!O20+'Danske Bank Group'!F20</f>
        <v>7460.428</v>
      </c>
      <c r="G20" s="39">
        <f>'Sampo Bank Group'!P20+'Danske Bank Group'!G20</f>
        <v>7093.354</v>
      </c>
    </row>
    <row r="21" spans="2:7" ht="12.75">
      <c r="B21" s="1" t="s">
        <v>35</v>
      </c>
      <c r="C21" s="40"/>
      <c r="D21" s="40"/>
      <c r="E21" s="40"/>
      <c r="F21" s="40"/>
      <c r="G21" s="40"/>
    </row>
    <row r="22" spans="3:7" ht="12.75">
      <c r="C22" s="41"/>
      <c r="D22" s="41"/>
      <c r="E22" s="41"/>
      <c r="F22" s="41"/>
      <c r="G22" s="41"/>
    </row>
    <row r="23" spans="3:7" ht="12.75">
      <c r="C23" s="41"/>
      <c r="D23" s="41"/>
      <c r="E23" s="41"/>
      <c r="F23" s="41"/>
      <c r="G23" s="41"/>
    </row>
    <row r="24" spans="2:7" ht="14.25">
      <c r="B24" s="5" t="s">
        <v>46</v>
      </c>
      <c r="C24" s="5">
        <v>2004</v>
      </c>
      <c r="D24" s="5">
        <v>2005</v>
      </c>
      <c r="E24" s="6" t="s">
        <v>24</v>
      </c>
      <c r="F24" s="6" t="s">
        <v>23</v>
      </c>
      <c r="G24" s="6" t="s">
        <v>22</v>
      </c>
    </row>
    <row r="25" spans="2:7" ht="12.75">
      <c r="B25" s="2" t="s">
        <v>15</v>
      </c>
      <c r="C25" s="42">
        <f>'Sampo Bank Group'!L25+'Danske Bank Group'!C25</f>
        <v>910942.046</v>
      </c>
      <c r="D25" s="42">
        <f>'Sampo Bank Group'!M25+'Danske Bank Group'!D25</f>
        <v>1067000.852</v>
      </c>
      <c r="E25" s="43">
        <f>'Sampo Bank Group'!N25+'Danske Bank Group'!E25</f>
        <v>1042235.21</v>
      </c>
      <c r="F25" s="44">
        <f>'Sampo Bank Group'!O25+'Danske Bank Group'!F25</f>
        <v>1067000.852</v>
      </c>
      <c r="G25" s="43">
        <f>'Sampo Bank Group'!P25+'Danske Bank Group'!G25</f>
        <v>1154258.93</v>
      </c>
    </row>
    <row r="26" spans="2:7" ht="12.75">
      <c r="B26" s="3" t="s">
        <v>33</v>
      </c>
      <c r="C26" s="135">
        <f>'Sampo Bank Group'!L26+'Danske Bank Group'!C26</f>
        <v>1257801.814</v>
      </c>
      <c r="D26" s="45">
        <f>'Sampo Bank Group'!M26+'Danske Bank Group'!D26</f>
        <v>1539782.25</v>
      </c>
      <c r="E26" s="46">
        <f>'Sampo Bank Group'!N26+'Danske Bank Group'!E26</f>
        <v>1442003.8</v>
      </c>
      <c r="F26" s="47">
        <f>'Sampo Bank Group'!O26+'Danske Bank Group'!F26</f>
        <v>1539782.25</v>
      </c>
      <c r="G26" s="46">
        <f>'Sampo Bank Group'!P26+'Danske Bank Group'!G26</f>
        <v>1700162.922</v>
      </c>
    </row>
    <row r="27" spans="2:7" ht="12.75">
      <c r="B27" s="8" t="s">
        <v>8</v>
      </c>
      <c r="C27" s="45">
        <f>'Sampo Bank Group'!L27+'Danske Bank Group'!C27</f>
        <v>2200358.978</v>
      </c>
      <c r="D27" s="45">
        <f>'Sampo Bank Group'!M27+'Danske Bank Group'!D27</f>
        <v>2605110.728</v>
      </c>
      <c r="E27" s="46">
        <f>'Sampo Bank Group'!N27+'Danske Bank Group'!E27</f>
        <v>2594413.048</v>
      </c>
      <c r="F27" s="48">
        <f>'Sampo Bank Group'!O27+'Danske Bank Group'!F27</f>
        <v>2605110.728</v>
      </c>
      <c r="G27" s="46">
        <f>'Sampo Bank Group'!P27+'Danske Bank Group'!G27</f>
        <v>2703614.408</v>
      </c>
    </row>
    <row r="28" spans="2:7" ht="12.75">
      <c r="B28" s="3" t="s">
        <v>27</v>
      </c>
      <c r="C28" s="45">
        <f>'Sampo Bank Group'!L28+'Danske Bank Group'!C28</f>
        <v>435530.456</v>
      </c>
      <c r="D28" s="45">
        <f>'Sampo Bank Group'!M28+'Danske Bank Group'!D28</f>
        <v>1199575.798</v>
      </c>
      <c r="E28" s="46">
        <f>'Sampo Bank Group'!N28+'Danske Bank Group'!E28</f>
        <v>1200404.568</v>
      </c>
      <c r="F28" s="47">
        <f>'Sampo Bank Group'!O28+'Danske Bank Group'!F28</f>
        <v>1199575.798</v>
      </c>
      <c r="G28" s="46">
        <f>'Sampo Bank Group'!P28+'Danske Bank Group'!G28</f>
        <v>1258817.654</v>
      </c>
    </row>
    <row r="29" spans="2:7" ht="12.75">
      <c r="B29" s="2" t="s">
        <v>34</v>
      </c>
      <c r="C29" s="42">
        <f>'Sampo Bank Group'!L29+'Danske Bank Group'!C29</f>
        <v>273357.596</v>
      </c>
      <c r="D29" s="42">
        <f>'Sampo Bank Group'!M29+'Danske Bank Group'!D29</f>
        <v>358057.298</v>
      </c>
      <c r="E29" s="43">
        <f>'Sampo Bank Group'!N29+'Danske Bank Group'!E29</f>
        <v>313985.774</v>
      </c>
      <c r="F29" s="47">
        <f>'Sampo Bank Group'!O29+'Danske Bank Group'!F29</f>
        <v>358057.298</v>
      </c>
      <c r="G29" s="43">
        <f>'Sampo Bank Group'!P29+'Danske Bank Group'!G29</f>
        <v>380858.776</v>
      </c>
    </row>
    <row r="30" spans="2:7" ht="12.75">
      <c r="B30" s="11" t="s">
        <v>42</v>
      </c>
      <c r="C30" s="49">
        <f>'Sampo Bank Group'!L30+'Danske Bank Group'!C30</f>
        <v>73715.896</v>
      </c>
      <c r="D30" s="49">
        <f>'Sampo Bank Group'!M30+'Danske Bank Group'!D30</f>
        <v>81617.63</v>
      </c>
      <c r="E30" s="50">
        <f>'Sampo Bank Group'!N30+'Danske Bank Group'!E30</f>
        <v>74456.788</v>
      </c>
      <c r="F30" s="51">
        <f>'Sampo Bank Group'!O30+'Danske Bank Group'!F30</f>
        <v>81617.63</v>
      </c>
      <c r="G30" s="50">
        <f>'Sampo Bank Group'!P30+'Danske Bank Group'!G30</f>
        <v>81597.366</v>
      </c>
    </row>
    <row r="31" spans="3:7" ht="12.75">
      <c r="C31" s="41"/>
      <c r="D31" s="41"/>
      <c r="E31" s="41"/>
      <c r="F31" s="41"/>
      <c r="G31" s="41"/>
    </row>
    <row r="32" spans="3:7" ht="12.75">
      <c r="C32" s="41"/>
      <c r="D32" s="41"/>
      <c r="E32" s="41"/>
      <c r="F32" s="41"/>
      <c r="G32" s="41"/>
    </row>
    <row r="33" spans="2:7" ht="14.25">
      <c r="B33" s="5"/>
      <c r="C33" s="5">
        <v>2004</v>
      </c>
      <c r="D33" s="5">
        <v>2005</v>
      </c>
      <c r="E33" s="6" t="s">
        <v>24</v>
      </c>
      <c r="F33" s="6" t="s">
        <v>23</v>
      </c>
      <c r="G33" s="6" t="s">
        <v>22</v>
      </c>
    </row>
    <row r="34" spans="2:7" ht="25.5">
      <c r="B34" s="10" t="s">
        <v>17</v>
      </c>
      <c r="C34" s="120" t="s">
        <v>49</v>
      </c>
      <c r="D34" s="52">
        <f>D20/AVERAGE(C30:D30)</f>
        <v>0.18170060724688628</v>
      </c>
      <c r="E34" s="53">
        <f>E20*2/AVERAGE(C30,E30)</f>
        <v>0.17958548958997056</v>
      </c>
      <c r="F34" s="53">
        <f>F20*2/AVERAGE(E30,F30)</f>
        <v>0.19120181502134448</v>
      </c>
      <c r="G34" s="53">
        <f>G20*2/AVERAGE(D30,G30)</f>
        <v>0.17384074193770777</v>
      </c>
    </row>
    <row r="35" spans="2:7" ht="12.75">
      <c r="B35" s="2" t="s">
        <v>28</v>
      </c>
      <c r="C35" s="52">
        <f>C7/C25</f>
        <v>0.018738647617545585</v>
      </c>
      <c r="D35" s="52">
        <f>D7/D25</f>
        <v>0.018486189549921747</v>
      </c>
      <c r="E35" s="53">
        <f>E7/E25</f>
        <v>0.009134270180720532</v>
      </c>
      <c r="F35" s="53">
        <f>F7/F25</f>
        <v>0.009563930507526906</v>
      </c>
      <c r="G35" s="53">
        <f>G7/G25</f>
        <v>0.009209625088194033</v>
      </c>
    </row>
    <row r="36" spans="2:7" ht="12.75">
      <c r="B36" s="2" t="s">
        <v>29</v>
      </c>
      <c r="C36" s="52">
        <f>(C12-C7)/C25</f>
        <v>0.018262083820862515</v>
      </c>
      <c r="D36" s="52">
        <f>(D12-D7)/D25</f>
        <v>0.018539340397827536</v>
      </c>
      <c r="E36" s="53">
        <f>(E12-E7)/E25</f>
        <v>0.00916906271090189</v>
      </c>
      <c r="F36" s="53">
        <f>(F12-F7)/F25</f>
        <v>0.00958309637788368</v>
      </c>
      <c r="G36" s="53">
        <f>(G12-G7)/G25</f>
        <v>0.008764802885259031</v>
      </c>
    </row>
    <row r="37" spans="2:7" ht="12.75">
      <c r="B37" s="2" t="s">
        <v>20</v>
      </c>
      <c r="C37" s="52">
        <f>-C15/C12</f>
        <v>0.5416367086674997</v>
      </c>
      <c r="D37" s="52">
        <f>-D15/D12</f>
        <v>0.5349783953292278</v>
      </c>
      <c r="E37" s="53">
        <f>-E15/E12</f>
        <v>0.5312113232396631</v>
      </c>
      <c r="F37" s="53">
        <f>-F15/F12</f>
        <v>0.538495892342858</v>
      </c>
      <c r="G37" s="53">
        <f>-G15/G12</f>
        <v>0.5502447951390321</v>
      </c>
    </row>
    <row r="39" ht="12.75">
      <c r="B39" s="15" t="s">
        <v>25</v>
      </c>
    </row>
  </sheetData>
  <sheetProtection/>
  <printOptions/>
  <pageMargins left="0.75" right="0.75" top="1" bottom="1" header="0" footer="0"/>
  <pageSetup horizontalDpi="600" verticalDpi="600" orientation="portrait" paperSize="9" scale="79" r:id="rId2"/>
  <ignoredErrors>
    <ignoredError sqref="C7:G12 C15:G30" unlockedFormula="1"/>
  </ignoredErrors>
  <legacyDrawing r:id="rId1"/>
</worksheet>
</file>

<file path=xl/worksheets/sheet2.xml><?xml version="1.0" encoding="utf-8"?>
<worksheet xmlns="http://schemas.openxmlformats.org/spreadsheetml/2006/main" xmlns:r="http://schemas.openxmlformats.org/officeDocument/2006/relationships">
  <sheetPr codeName="Sheet5"/>
  <dimension ref="B2:J8"/>
  <sheetViews>
    <sheetView zoomScalePageLayoutView="0" workbookViewId="0" topLeftCell="A1">
      <selection activeCell="A1" sqref="A1"/>
    </sheetView>
  </sheetViews>
  <sheetFormatPr defaultColWidth="9.00390625" defaultRowHeight="12.75"/>
  <cols>
    <col min="1" max="1" width="9.00390625" style="1" customWidth="1"/>
    <col min="2" max="2" width="10.125" style="1" customWidth="1"/>
    <col min="3" max="16384" width="9.00390625" style="1" customWidth="1"/>
  </cols>
  <sheetData>
    <row r="1" ht="13.5" thickBot="1"/>
    <row r="2" spans="2:10" ht="13.5" thickBot="1">
      <c r="B2" s="1" t="s">
        <v>43</v>
      </c>
      <c r="J2" s="137">
        <v>7.46</v>
      </c>
    </row>
    <row r="5" ht="12.75">
      <c r="B5" s="1" t="s">
        <v>50</v>
      </c>
    </row>
    <row r="6" ht="12.75">
      <c r="B6" s="1" t="s">
        <v>51</v>
      </c>
    </row>
    <row r="8" ht="12.75">
      <c r="B8" s="1" t="s">
        <v>52</v>
      </c>
    </row>
  </sheetData>
  <sheetProtection/>
  <printOptions/>
  <pageMargins left="0.75" right="0.75" top="1" bottom="1" header="0.5" footer="0.5"/>
  <pageSetup orientation="portrait" paperSize="9"/>
  <legacyDrawing r:id="rId1"/>
</worksheet>
</file>

<file path=xl/worksheets/sheet3.xml><?xml version="1.0" encoding="utf-8"?>
<worksheet xmlns="http://schemas.openxmlformats.org/spreadsheetml/2006/main" xmlns:r="http://schemas.openxmlformats.org/officeDocument/2006/relationships">
  <sheetPr codeName="Sheet1"/>
  <dimension ref="B2:Q40"/>
  <sheetViews>
    <sheetView zoomScalePageLayoutView="0" workbookViewId="0" topLeftCell="A1">
      <selection activeCell="A1" sqref="A1"/>
    </sheetView>
  </sheetViews>
  <sheetFormatPr defaultColWidth="9.00390625" defaultRowHeight="12.75"/>
  <cols>
    <col min="1" max="1" width="9.00390625" style="1" customWidth="1"/>
    <col min="2" max="2" width="42.25390625" style="1" bestFit="1" customWidth="1"/>
    <col min="3" max="8" width="10.25390625" style="1" customWidth="1"/>
    <col min="9" max="9" width="1.12109375" style="96" customWidth="1"/>
    <col min="10" max="10" width="9.00390625" style="1" customWidth="1"/>
    <col min="11" max="11" width="42.25390625" style="1" bestFit="1" customWidth="1"/>
    <col min="12" max="16" width="10.125" style="1" customWidth="1"/>
    <col min="17" max="16384" width="9.00390625" style="1" customWidth="1"/>
  </cols>
  <sheetData>
    <row r="1" ht="13.5" thickBot="1"/>
    <row r="2" spans="2:15" ht="15.75" thickBot="1">
      <c r="B2" s="16" t="s">
        <v>36</v>
      </c>
      <c r="K2" s="1" t="s">
        <v>47</v>
      </c>
      <c r="O2" s="23">
        <f>Frontpage!J2</f>
        <v>7.46</v>
      </c>
    </row>
    <row r="6" spans="2:16" ht="14.25">
      <c r="B6" s="5" t="s">
        <v>12</v>
      </c>
      <c r="C6" s="5">
        <v>2004</v>
      </c>
      <c r="D6" s="5">
        <v>2005</v>
      </c>
      <c r="E6" s="6" t="s">
        <v>24</v>
      </c>
      <c r="F6" s="6" t="s">
        <v>23</v>
      </c>
      <c r="G6" s="6" t="s">
        <v>22</v>
      </c>
      <c r="H6" s="94"/>
      <c r="I6" s="97"/>
      <c r="K6" s="5" t="s">
        <v>48</v>
      </c>
      <c r="L6" s="5">
        <v>2004</v>
      </c>
      <c r="M6" s="5">
        <v>2005</v>
      </c>
      <c r="N6" s="6" t="s">
        <v>24</v>
      </c>
      <c r="O6" s="6" t="s">
        <v>23</v>
      </c>
      <c r="P6" s="6" t="s">
        <v>22</v>
      </c>
    </row>
    <row r="7" spans="2:16" ht="12.75">
      <c r="B7" s="1" t="s">
        <v>0</v>
      </c>
      <c r="C7" s="24">
        <v>310.7</v>
      </c>
      <c r="D7" s="24">
        <v>343</v>
      </c>
      <c r="E7" s="25">
        <v>167.3</v>
      </c>
      <c r="F7" s="25">
        <v>175.7</v>
      </c>
      <c r="G7" s="25">
        <v>180.2</v>
      </c>
      <c r="H7" s="25"/>
      <c r="I7" s="98"/>
      <c r="K7" s="1" t="s">
        <v>0</v>
      </c>
      <c r="L7" s="24">
        <f>C7*$O$2</f>
        <v>2317.822</v>
      </c>
      <c r="M7" s="24">
        <f>D7*$O$2</f>
        <v>2558.78</v>
      </c>
      <c r="N7" s="25">
        <f>E7*$O$2</f>
        <v>1248.058</v>
      </c>
      <c r="O7" s="25">
        <f>F7*$O$2</f>
        <v>1310.722</v>
      </c>
      <c r="P7" s="25">
        <f>G7*$O$2</f>
        <v>1344.292</v>
      </c>
    </row>
    <row r="8" spans="2:16" ht="12.75">
      <c r="B8" s="1" t="s">
        <v>1</v>
      </c>
      <c r="C8" s="26">
        <v>144.1</v>
      </c>
      <c r="D8" s="24">
        <v>153.9</v>
      </c>
      <c r="E8" s="25">
        <v>75.3</v>
      </c>
      <c r="F8" s="25">
        <v>78.5</v>
      </c>
      <c r="G8" s="27">
        <v>131.5</v>
      </c>
      <c r="H8" s="27"/>
      <c r="I8" s="99"/>
      <c r="K8" s="1" t="s">
        <v>1</v>
      </c>
      <c r="L8" s="26">
        <f aca="true" t="shared" si="0" ref="L8:L20">C8*$O$2</f>
        <v>1074.9859999999999</v>
      </c>
      <c r="M8" s="24">
        <f aca="true" t="shared" si="1" ref="M8:M20">D8*$O$2</f>
        <v>1148.094</v>
      </c>
      <c r="N8" s="25">
        <f aca="true" t="shared" si="2" ref="N8:N20">E8*$O$2</f>
        <v>561.7379999999999</v>
      </c>
      <c r="O8" s="25">
        <f aca="true" t="shared" si="3" ref="O8:O20">F8*$O$2</f>
        <v>585.61</v>
      </c>
      <c r="P8" s="27">
        <f aca="true" t="shared" si="4" ref="P8:P20">G8*$O$2</f>
        <v>980.99</v>
      </c>
    </row>
    <row r="9" spans="2:16" ht="12.75">
      <c r="B9" s="1" t="s">
        <v>2</v>
      </c>
      <c r="C9" s="26">
        <v>71.2</v>
      </c>
      <c r="D9" s="24">
        <v>63.3</v>
      </c>
      <c r="E9" s="25">
        <v>28.4</v>
      </c>
      <c r="F9" s="25">
        <v>34.9</v>
      </c>
      <c r="G9" s="27">
        <v>37.4</v>
      </c>
      <c r="H9" s="27"/>
      <c r="I9" s="99"/>
      <c r="K9" s="1" t="s">
        <v>2</v>
      </c>
      <c r="L9" s="26">
        <f t="shared" si="0"/>
        <v>531.152</v>
      </c>
      <c r="M9" s="24">
        <f t="shared" si="1"/>
        <v>472.21799999999996</v>
      </c>
      <c r="N9" s="25">
        <f t="shared" si="2"/>
        <v>211.86399999999998</v>
      </c>
      <c r="O9" s="25">
        <f t="shared" si="3"/>
        <v>260.354</v>
      </c>
      <c r="P9" s="27">
        <f t="shared" si="4"/>
        <v>279.00399999999996</v>
      </c>
    </row>
    <row r="10" spans="2:17" ht="12.75">
      <c r="B10" s="1" t="s">
        <v>14</v>
      </c>
      <c r="C10" s="28" t="s">
        <v>32</v>
      </c>
      <c r="D10" s="26" t="s">
        <v>32</v>
      </c>
      <c r="E10" s="29" t="s">
        <v>32</v>
      </c>
      <c r="F10" s="29" t="s">
        <v>32</v>
      </c>
      <c r="G10" s="29" t="s">
        <v>32</v>
      </c>
      <c r="H10" s="29"/>
      <c r="I10" s="100"/>
      <c r="K10" s="1" t="s">
        <v>14</v>
      </c>
      <c r="L10" s="28" t="s">
        <v>32</v>
      </c>
      <c r="M10" s="26" t="s">
        <v>32</v>
      </c>
      <c r="N10" s="29" t="s">
        <v>32</v>
      </c>
      <c r="O10" s="29" t="s">
        <v>32</v>
      </c>
      <c r="P10" s="29" t="s">
        <v>32</v>
      </c>
      <c r="Q10" s="29"/>
    </row>
    <row r="11" spans="2:16" ht="12.75">
      <c r="B11" s="1" t="s">
        <v>3</v>
      </c>
      <c r="C11" s="30">
        <f>C12-SUM(C7:C9)</f>
        <v>79.70000000000005</v>
      </c>
      <c r="D11" s="30">
        <f>D12-SUM(D7:D9)</f>
        <v>83.00000000000011</v>
      </c>
      <c r="E11" s="31">
        <f>E12-SUM(E7:E9)</f>
        <v>38.30000000000001</v>
      </c>
      <c r="F11" s="31">
        <f>F12-SUM(F7:F9)</f>
        <v>44.80000000000007</v>
      </c>
      <c r="G11" s="31">
        <f>G12-SUM(G7:G9)</f>
        <v>47.30000000000007</v>
      </c>
      <c r="H11" s="57"/>
      <c r="I11" s="101"/>
      <c r="K11" s="1" t="s">
        <v>3</v>
      </c>
      <c r="L11" s="30">
        <f t="shared" si="0"/>
        <v>594.5620000000004</v>
      </c>
      <c r="M11" s="30">
        <f t="shared" si="1"/>
        <v>619.1800000000009</v>
      </c>
      <c r="N11" s="31">
        <f t="shared" si="2"/>
        <v>285.7180000000001</v>
      </c>
      <c r="O11" s="31">
        <f t="shared" si="3"/>
        <v>334.2080000000005</v>
      </c>
      <c r="P11" s="31">
        <f t="shared" si="4"/>
        <v>352.8580000000005</v>
      </c>
    </row>
    <row r="12" spans="2:16" ht="12.75">
      <c r="B12" s="9" t="s">
        <v>7</v>
      </c>
      <c r="C12" s="24">
        <f>615.5-9.8</f>
        <v>605.7</v>
      </c>
      <c r="D12" s="24">
        <f>646.1-2.9</f>
        <v>643.2</v>
      </c>
      <c r="E12" s="25">
        <f>316.3-7</f>
        <v>309.3</v>
      </c>
      <c r="F12" s="25">
        <f>329.8+4.1</f>
        <v>333.90000000000003</v>
      </c>
      <c r="G12" s="25">
        <f>401.1-4.7</f>
        <v>396.40000000000003</v>
      </c>
      <c r="H12" s="25"/>
      <c r="I12" s="98"/>
      <c r="K12" s="9" t="s">
        <v>7</v>
      </c>
      <c r="L12" s="24">
        <f t="shared" si="0"/>
        <v>4518.522</v>
      </c>
      <c r="M12" s="24">
        <f t="shared" si="1"/>
        <v>4798.272</v>
      </c>
      <c r="N12" s="25">
        <f t="shared" si="2"/>
        <v>2307.378</v>
      </c>
      <c r="O12" s="25">
        <f t="shared" si="3"/>
        <v>2490.8940000000002</v>
      </c>
      <c r="P12" s="25">
        <f t="shared" si="4"/>
        <v>2957.1440000000002</v>
      </c>
    </row>
    <row r="13" spans="2:16" ht="12.75">
      <c r="B13" s="18" t="s">
        <v>30</v>
      </c>
      <c r="C13" s="26">
        <v>-169.8</v>
      </c>
      <c r="D13" s="24">
        <v>-180.8</v>
      </c>
      <c r="E13" s="32">
        <v>-92.6</v>
      </c>
      <c r="F13" s="32">
        <v>-88.2</v>
      </c>
      <c r="G13" s="32">
        <v>-102.2</v>
      </c>
      <c r="H13" s="32"/>
      <c r="I13" s="102"/>
      <c r="K13" s="18" t="s">
        <v>30</v>
      </c>
      <c r="L13" s="26">
        <f t="shared" si="0"/>
        <v>-1266.708</v>
      </c>
      <c r="M13" s="24">
        <f t="shared" si="1"/>
        <v>-1348.768</v>
      </c>
      <c r="N13" s="32">
        <f t="shared" si="2"/>
        <v>-690.7959999999999</v>
      </c>
      <c r="O13" s="32">
        <f t="shared" si="3"/>
        <v>-657.972</v>
      </c>
      <c r="P13" s="32">
        <f t="shared" si="4"/>
        <v>-762.412</v>
      </c>
    </row>
    <row r="14" spans="2:16" ht="12.75">
      <c r="B14" s="18" t="s">
        <v>31</v>
      </c>
      <c r="C14" s="26">
        <v>-214</v>
      </c>
      <c r="D14" s="24">
        <v>-212.9</v>
      </c>
      <c r="E14" s="32">
        <v>-105.2</v>
      </c>
      <c r="F14" s="32">
        <v>-107.7</v>
      </c>
      <c r="G14" s="32">
        <v>-122.6</v>
      </c>
      <c r="H14" s="32"/>
      <c r="I14" s="102"/>
      <c r="K14" s="18" t="s">
        <v>31</v>
      </c>
      <c r="L14" s="26">
        <f t="shared" si="0"/>
        <v>-1596.44</v>
      </c>
      <c r="M14" s="24">
        <f t="shared" si="1"/>
        <v>-1588.234</v>
      </c>
      <c r="N14" s="32">
        <f t="shared" si="2"/>
        <v>-784.792</v>
      </c>
      <c r="O14" s="32">
        <f t="shared" si="3"/>
        <v>-803.442</v>
      </c>
      <c r="P14" s="32">
        <f t="shared" si="4"/>
        <v>-914.596</v>
      </c>
    </row>
    <row r="15" spans="2:16" ht="12.75">
      <c r="B15" s="8" t="s">
        <v>9</v>
      </c>
      <c r="C15" s="30">
        <f>C13+C14</f>
        <v>-383.8</v>
      </c>
      <c r="D15" s="30">
        <f>D13+D14</f>
        <v>-393.70000000000005</v>
      </c>
      <c r="E15" s="31">
        <f>E13+E14</f>
        <v>-197.8</v>
      </c>
      <c r="F15" s="31">
        <f>F13+F14</f>
        <v>-195.9</v>
      </c>
      <c r="G15" s="31">
        <f>G13+G14</f>
        <v>-224.8</v>
      </c>
      <c r="H15" s="57"/>
      <c r="I15" s="101"/>
      <c r="K15" s="8" t="s">
        <v>9</v>
      </c>
      <c r="L15" s="30">
        <f t="shared" si="0"/>
        <v>-2863.148</v>
      </c>
      <c r="M15" s="30">
        <f t="shared" si="1"/>
        <v>-2937.0020000000004</v>
      </c>
      <c r="N15" s="31">
        <f t="shared" si="2"/>
        <v>-1475.588</v>
      </c>
      <c r="O15" s="31">
        <f t="shared" si="3"/>
        <v>-1461.414</v>
      </c>
      <c r="P15" s="31">
        <f t="shared" si="4"/>
        <v>-1677.008</v>
      </c>
    </row>
    <row r="16" spans="2:16" ht="12.75">
      <c r="B16" s="9" t="s">
        <v>10</v>
      </c>
      <c r="C16" s="33">
        <f>C12+C15</f>
        <v>221.90000000000003</v>
      </c>
      <c r="D16" s="33">
        <f>D12+D15</f>
        <v>249.5</v>
      </c>
      <c r="E16" s="27">
        <f>E12+E15</f>
        <v>111.5</v>
      </c>
      <c r="F16" s="34">
        <f>F12+F15</f>
        <v>138.00000000000003</v>
      </c>
      <c r="G16" s="27">
        <f>G12+G15</f>
        <v>171.60000000000002</v>
      </c>
      <c r="H16" s="27"/>
      <c r="I16" s="99"/>
      <c r="K16" s="9" t="s">
        <v>10</v>
      </c>
      <c r="L16" s="33">
        <f t="shared" si="0"/>
        <v>1655.3740000000003</v>
      </c>
      <c r="M16" s="33">
        <f t="shared" si="1"/>
        <v>1861.27</v>
      </c>
      <c r="N16" s="27">
        <f t="shared" si="2"/>
        <v>831.79</v>
      </c>
      <c r="O16" s="34">
        <f t="shared" si="3"/>
        <v>1029.4800000000002</v>
      </c>
      <c r="P16" s="27">
        <f t="shared" si="4"/>
        <v>1280.1360000000002</v>
      </c>
    </row>
    <row r="17" spans="2:16" ht="12.75">
      <c r="B17" s="8" t="s">
        <v>4</v>
      </c>
      <c r="C17" s="35">
        <v>9.8</v>
      </c>
      <c r="D17" s="35">
        <v>2.9</v>
      </c>
      <c r="E17" s="32">
        <v>7</v>
      </c>
      <c r="F17" s="32">
        <v>-4.1</v>
      </c>
      <c r="G17" s="32">
        <v>4.7</v>
      </c>
      <c r="H17" s="32"/>
      <c r="I17" s="102"/>
      <c r="K17" s="8" t="s">
        <v>4</v>
      </c>
      <c r="L17" s="35">
        <f t="shared" si="0"/>
        <v>73.108</v>
      </c>
      <c r="M17" s="35">
        <f t="shared" si="1"/>
        <v>21.634</v>
      </c>
      <c r="N17" s="32">
        <f t="shared" si="2"/>
        <v>52.22</v>
      </c>
      <c r="O17" s="32">
        <f t="shared" si="3"/>
        <v>-30.586</v>
      </c>
      <c r="P17" s="32">
        <f t="shared" si="4"/>
        <v>35.062</v>
      </c>
    </row>
    <row r="18" spans="2:16" ht="12.75">
      <c r="B18" s="12" t="s">
        <v>5</v>
      </c>
      <c r="C18" s="36">
        <f>C16+C17</f>
        <v>231.70000000000005</v>
      </c>
      <c r="D18" s="36">
        <f>D16+D17</f>
        <v>252.4</v>
      </c>
      <c r="E18" s="37">
        <f>E16+E17</f>
        <v>118.5</v>
      </c>
      <c r="F18" s="37">
        <f>F16+F17</f>
        <v>133.90000000000003</v>
      </c>
      <c r="G18" s="37">
        <f>G16+G17</f>
        <v>176.3</v>
      </c>
      <c r="H18" s="57"/>
      <c r="I18" s="101"/>
      <c r="K18" s="12" t="s">
        <v>5</v>
      </c>
      <c r="L18" s="36">
        <f t="shared" si="0"/>
        <v>1728.4820000000004</v>
      </c>
      <c r="M18" s="36">
        <f t="shared" si="1"/>
        <v>1882.904</v>
      </c>
      <c r="N18" s="37">
        <f t="shared" si="2"/>
        <v>884.01</v>
      </c>
      <c r="O18" s="37">
        <f t="shared" si="3"/>
        <v>998.8940000000002</v>
      </c>
      <c r="P18" s="37">
        <f t="shared" si="4"/>
        <v>1315.198</v>
      </c>
    </row>
    <row r="19" spans="2:16" ht="12.75">
      <c r="B19" s="7" t="s">
        <v>6</v>
      </c>
      <c r="C19" s="35">
        <v>-63.5</v>
      </c>
      <c r="D19" s="35">
        <v>-61.1</v>
      </c>
      <c r="E19" s="38">
        <v>-29</v>
      </c>
      <c r="F19" s="38">
        <v>-32.1</v>
      </c>
      <c r="G19" s="38">
        <v>-41.5</v>
      </c>
      <c r="H19" s="32"/>
      <c r="I19" s="102"/>
      <c r="K19" s="7" t="s">
        <v>6</v>
      </c>
      <c r="L19" s="35">
        <f t="shared" si="0"/>
        <v>-473.71</v>
      </c>
      <c r="M19" s="35">
        <f t="shared" si="1"/>
        <v>-455.806</v>
      </c>
      <c r="N19" s="38">
        <f t="shared" si="2"/>
        <v>-216.34</v>
      </c>
      <c r="O19" s="38">
        <f t="shared" si="3"/>
        <v>-239.466</v>
      </c>
      <c r="P19" s="38">
        <f t="shared" si="4"/>
        <v>-309.59</v>
      </c>
    </row>
    <row r="20" spans="2:16" ht="12.75">
      <c r="B20" s="4" t="s">
        <v>11</v>
      </c>
      <c r="C20" s="21">
        <f>C18+C19</f>
        <v>168.20000000000005</v>
      </c>
      <c r="D20" s="21">
        <f>D18+D19</f>
        <v>191.3</v>
      </c>
      <c r="E20" s="39">
        <v>89.6</v>
      </c>
      <c r="F20" s="22">
        <f>F18+F19</f>
        <v>101.80000000000004</v>
      </c>
      <c r="G20" s="39">
        <v>134.9</v>
      </c>
      <c r="H20" s="95"/>
      <c r="I20" s="103"/>
      <c r="K20" s="4" t="s">
        <v>11</v>
      </c>
      <c r="L20" s="21">
        <f t="shared" si="0"/>
        <v>1254.7720000000004</v>
      </c>
      <c r="M20" s="21">
        <f t="shared" si="1"/>
        <v>1427.0980000000002</v>
      </c>
      <c r="N20" s="39">
        <f t="shared" si="2"/>
        <v>668.4159999999999</v>
      </c>
      <c r="O20" s="22">
        <f t="shared" si="3"/>
        <v>759.4280000000003</v>
      </c>
      <c r="P20" s="39">
        <f t="shared" si="4"/>
        <v>1006.354</v>
      </c>
    </row>
    <row r="21" spans="2:16" ht="12.75">
      <c r="B21" s="1" t="s">
        <v>35</v>
      </c>
      <c r="C21" s="40">
        <v>7.2</v>
      </c>
      <c r="D21" s="40">
        <v>7.2</v>
      </c>
      <c r="E21" s="40">
        <v>4.8</v>
      </c>
      <c r="F21" s="40">
        <f>+D21-E21</f>
        <v>2.4000000000000004</v>
      </c>
      <c r="G21" s="40">
        <v>9.9</v>
      </c>
      <c r="H21" s="40"/>
      <c r="I21" s="104"/>
      <c r="K21" s="1" t="s">
        <v>35</v>
      </c>
      <c r="L21" s="40"/>
      <c r="M21" s="40"/>
      <c r="N21" s="40"/>
      <c r="O21" s="40"/>
      <c r="P21" s="40"/>
    </row>
    <row r="22" spans="3:16" ht="12.75">
      <c r="C22" s="41"/>
      <c r="D22" s="41"/>
      <c r="E22" s="41"/>
      <c r="F22" s="41"/>
      <c r="G22" s="41"/>
      <c r="H22" s="41"/>
      <c r="I22" s="105"/>
      <c r="L22" s="41"/>
      <c r="M22" s="41"/>
      <c r="N22" s="41"/>
      <c r="O22" s="41"/>
      <c r="P22" s="41"/>
    </row>
    <row r="23" spans="3:16" ht="12.75">
      <c r="C23" s="41"/>
      <c r="D23" s="41"/>
      <c r="E23" s="41"/>
      <c r="F23" s="41"/>
      <c r="G23" s="41"/>
      <c r="H23" s="41"/>
      <c r="I23" s="105"/>
      <c r="L23" s="41"/>
      <c r="M23" s="41"/>
      <c r="N23" s="41"/>
      <c r="O23" s="41"/>
      <c r="P23" s="41"/>
    </row>
    <row r="24" spans="2:16" ht="14.25">
      <c r="B24" s="5" t="s">
        <v>12</v>
      </c>
      <c r="C24" s="5">
        <v>2004</v>
      </c>
      <c r="D24" s="5">
        <v>2005</v>
      </c>
      <c r="E24" s="6" t="s">
        <v>24</v>
      </c>
      <c r="F24" s="6" t="s">
        <v>23</v>
      </c>
      <c r="G24" s="6" t="s">
        <v>22</v>
      </c>
      <c r="H24" s="94"/>
      <c r="I24" s="97"/>
      <c r="K24" s="5" t="s">
        <v>48</v>
      </c>
      <c r="L24" s="5">
        <v>2004</v>
      </c>
      <c r="M24" s="5">
        <v>2005</v>
      </c>
      <c r="N24" s="6" t="s">
        <v>24</v>
      </c>
      <c r="O24" s="6" t="s">
        <v>23</v>
      </c>
      <c r="P24" s="6" t="s">
        <v>22</v>
      </c>
    </row>
    <row r="25" spans="2:16" ht="12.75">
      <c r="B25" s="2" t="s">
        <v>15</v>
      </c>
      <c r="C25" s="42">
        <v>13755.1</v>
      </c>
      <c r="D25" s="42">
        <v>16466.2</v>
      </c>
      <c r="E25" s="43">
        <v>15438.5</v>
      </c>
      <c r="F25" s="44">
        <f aca="true" t="shared" si="5" ref="F25:F30">D25</f>
        <v>16466.2</v>
      </c>
      <c r="G25" s="43">
        <v>18070.5</v>
      </c>
      <c r="H25" s="43"/>
      <c r="I25" s="106"/>
      <c r="K25" s="2" t="s">
        <v>15</v>
      </c>
      <c r="L25" s="42">
        <f aca="true" t="shared" si="6" ref="L25:P30">C25*$O$2</f>
        <v>102613.046</v>
      </c>
      <c r="M25" s="42">
        <f t="shared" si="6"/>
        <v>122837.852</v>
      </c>
      <c r="N25" s="43">
        <f t="shared" si="6"/>
        <v>115171.21</v>
      </c>
      <c r="O25" s="44">
        <f t="shared" si="6"/>
        <v>122837.852</v>
      </c>
      <c r="P25" s="43">
        <f t="shared" si="6"/>
        <v>134805.93</v>
      </c>
    </row>
    <row r="26" spans="2:16" ht="12.75">
      <c r="B26" s="3" t="s">
        <v>33</v>
      </c>
      <c r="C26" s="45">
        <v>15835.9</v>
      </c>
      <c r="D26" s="45">
        <v>18912.5</v>
      </c>
      <c r="E26" s="46">
        <v>17330</v>
      </c>
      <c r="F26" s="47">
        <f t="shared" si="5"/>
        <v>18912.5</v>
      </c>
      <c r="G26" s="46">
        <v>20645.7</v>
      </c>
      <c r="H26" s="46"/>
      <c r="I26" s="107"/>
      <c r="K26" s="3" t="s">
        <v>33</v>
      </c>
      <c r="L26" s="45">
        <f t="shared" si="6"/>
        <v>118135.814</v>
      </c>
      <c r="M26" s="45">
        <f t="shared" si="6"/>
        <v>141087.25</v>
      </c>
      <c r="N26" s="46">
        <f t="shared" si="6"/>
        <v>129281.8</v>
      </c>
      <c r="O26" s="47">
        <f t="shared" si="6"/>
        <v>141087.25</v>
      </c>
      <c r="P26" s="46">
        <f t="shared" si="6"/>
        <v>154016.922</v>
      </c>
    </row>
    <row r="27" spans="2:16" ht="12.75">
      <c r="B27" s="8" t="s">
        <v>8</v>
      </c>
      <c r="C27" s="45">
        <v>19819.3</v>
      </c>
      <c r="D27" s="45">
        <v>23206.8</v>
      </c>
      <c r="E27" s="46">
        <v>21598.8</v>
      </c>
      <c r="F27" s="48">
        <f t="shared" si="5"/>
        <v>23206.8</v>
      </c>
      <c r="G27" s="46">
        <v>25614.8</v>
      </c>
      <c r="H27" s="46"/>
      <c r="I27" s="107"/>
      <c r="K27" s="8" t="s">
        <v>8</v>
      </c>
      <c r="L27" s="45">
        <f t="shared" si="6"/>
        <v>147851.978</v>
      </c>
      <c r="M27" s="45">
        <f t="shared" si="6"/>
        <v>173122.728</v>
      </c>
      <c r="N27" s="46">
        <f t="shared" si="6"/>
        <v>161127.04799999998</v>
      </c>
      <c r="O27" s="48">
        <f t="shared" si="6"/>
        <v>173122.728</v>
      </c>
      <c r="P27" s="46">
        <f t="shared" si="6"/>
        <v>191086.408</v>
      </c>
    </row>
    <row r="28" spans="2:16" ht="12.75">
      <c r="B28" s="3" t="s">
        <v>27</v>
      </c>
      <c r="C28" s="45">
        <v>11013.6</v>
      </c>
      <c r="D28" s="45">
        <v>12336.3</v>
      </c>
      <c r="E28" s="46">
        <v>11460.8</v>
      </c>
      <c r="F28" s="47">
        <f t="shared" si="5"/>
        <v>12336.3</v>
      </c>
      <c r="G28" s="46">
        <v>13339.9</v>
      </c>
      <c r="H28" s="46"/>
      <c r="I28" s="107"/>
      <c r="K28" s="3" t="s">
        <v>27</v>
      </c>
      <c r="L28" s="45">
        <f t="shared" si="6"/>
        <v>82161.456</v>
      </c>
      <c r="M28" s="45">
        <f t="shared" si="6"/>
        <v>92028.798</v>
      </c>
      <c r="N28" s="46">
        <f t="shared" si="6"/>
        <v>85497.568</v>
      </c>
      <c r="O28" s="47">
        <f t="shared" si="6"/>
        <v>92028.798</v>
      </c>
      <c r="P28" s="46">
        <f t="shared" si="6"/>
        <v>99515.654</v>
      </c>
    </row>
    <row r="29" spans="2:16" ht="12.75">
      <c r="B29" s="2" t="s">
        <v>34</v>
      </c>
      <c r="C29" s="42">
        <v>6622.6</v>
      </c>
      <c r="D29" s="42">
        <v>8461.3</v>
      </c>
      <c r="E29" s="43">
        <v>7311.9</v>
      </c>
      <c r="F29" s="47">
        <f t="shared" si="5"/>
        <v>8461.3</v>
      </c>
      <c r="G29" s="43">
        <v>9705.6</v>
      </c>
      <c r="H29" s="43"/>
      <c r="I29" s="106"/>
      <c r="K29" s="2" t="s">
        <v>34</v>
      </c>
      <c r="L29" s="42">
        <f t="shared" si="6"/>
        <v>49404.596000000005</v>
      </c>
      <c r="M29" s="42">
        <f t="shared" si="6"/>
        <v>63121.297999999995</v>
      </c>
      <c r="N29" s="43">
        <f t="shared" si="6"/>
        <v>54546.774</v>
      </c>
      <c r="O29" s="47">
        <f t="shared" si="6"/>
        <v>63121.297999999995</v>
      </c>
      <c r="P29" s="43">
        <f t="shared" si="6"/>
        <v>72403.776</v>
      </c>
    </row>
    <row r="30" spans="2:16" ht="12.75">
      <c r="B30" s="11" t="s">
        <v>42</v>
      </c>
      <c r="C30" s="49">
        <v>977.6</v>
      </c>
      <c r="D30" s="49">
        <v>1015.5</v>
      </c>
      <c r="E30" s="50">
        <v>917.8</v>
      </c>
      <c r="F30" s="51">
        <f t="shared" si="5"/>
        <v>1015.5</v>
      </c>
      <c r="G30" s="50">
        <v>1097.1</v>
      </c>
      <c r="H30" s="46"/>
      <c r="I30" s="107"/>
      <c r="K30" s="11" t="s">
        <v>42</v>
      </c>
      <c r="L30" s="49">
        <f t="shared" si="6"/>
        <v>7292.896</v>
      </c>
      <c r="M30" s="49">
        <f t="shared" si="6"/>
        <v>7575.63</v>
      </c>
      <c r="N30" s="50">
        <f t="shared" si="6"/>
        <v>6846.788</v>
      </c>
      <c r="O30" s="51">
        <f t="shared" si="6"/>
        <v>7575.63</v>
      </c>
      <c r="P30" s="50">
        <f t="shared" si="6"/>
        <v>8184.365999999999</v>
      </c>
    </row>
    <row r="31" spans="3:16" ht="12.75">
      <c r="C31" s="41"/>
      <c r="D31" s="41"/>
      <c r="E31" s="41"/>
      <c r="F31" s="41"/>
      <c r="G31" s="41"/>
      <c r="H31" s="41"/>
      <c r="I31" s="105"/>
      <c r="L31" s="41"/>
      <c r="M31" s="41"/>
      <c r="N31" s="41"/>
      <c r="O31" s="41"/>
      <c r="P31" s="41"/>
    </row>
    <row r="32" spans="3:16" ht="12.75">
      <c r="C32" s="41"/>
      <c r="D32" s="41"/>
      <c r="E32" s="41"/>
      <c r="F32" s="41"/>
      <c r="G32" s="41"/>
      <c r="H32" s="41"/>
      <c r="I32" s="105"/>
      <c r="L32" s="41"/>
      <c r="M32" s="41"/>
      <c r="N32" s="41"/>
      <c r="O32" s="41"/>
      <c r="P32" s="41"/>
    </row>
    <row r="33" spans="2:16" ht="14.25">
      <c r="B33" s="5"/>
      <c r="C33" s="5">
        <v>2004</v>
      </c>
      <c r="D33" s="5">
        <v>2005</v>
      </c>
      <c r="E33" s="6" t="s">
        <v>24</v>
      </c>
      <c r="F33" s="6" t="s">
        <v>23</v>
      </c>
      <c r="G33" s="6" t="s">
        <v>22</v>
      </c>
      <c r="H33" s="94"/>
      <c r="I33" s="97"/>
      <c r="K33" s="5"/>
      <c r="L33" s="5">
        <v>2004</v>
      </c>
      <c r="M33" s="5">
        <v>2005</v>
      </c>
      <c r="N33" s="6" t="s">
        <v>24</v>
      </c>
      <c r="O33" s="6" t="s">
        <v>23</v>
      </c>
      <c r="P33" s="6" t="s">
        <v>22</v>
      </c>
    </row>
    <row r="34" spans="2:16" ht="25.5">
      <c r="B34" s="10" t="s">
        <v>17</v>
      </c>
      <c r="C34" s="52">
        <f>C20/(940*0.5+C30*0.5)</f>
        <v>0.17542761785565295</v>
      </c>
      <c r="D34" s="52">
        <f>D20/AVERAGE(C30:D30)</f>
        <v>0.1919622698309167</v>
      </c>
      <c r="E34" s="53">
        <f>E20*2/AVERAGE(C30,E30)</f>
        <v>0.18908937427455944</v>
      </c>
      <c r="F34" s="53">
        <f>F20*2/AVERAGE(E30,F30)</f>
        <v>0.2106243211089847</v>
      </c>
      <c r="G34" s="53">
        <f>G20*2/AVERAGE(D30,G30)</f>
        <v>0.25541986178169085</v>
      </c>
      <c r="H34" s="53"/>
      <c r="I34" s="108"/>
      <c r="K34" s="10" t="s">
        <v>17</v>
      </c>
      <c r="L34" s="52">
        <f>C34</f>
        <v>0.17542761785565295</v>
      </c>
      <c r="M34" s="52">
        <f aca="true" t="shared" si="7" ref="M34:P37">D34</f>
        <v>0.1919622698309167</v>
      </c>
      <c r="N34" s="53">
        <f t="shared" si="7"/>
        <v>0.18908937427455944</v>
      </c>
      <c r="O34" s="53">
        <f t="shared" si="7"/>
        <v>0.2106243211089847</v>
      </c>
      <c r="P34" s="53">
        <f t="shared" si="7"/>
        <v>0.25541986178169085</v>
      </c>
    </row>
    <row r="35" spans="2:16" ht="12.75">
      <c r="B35" s="2" t="s">
        <v>28</v>
      </c>
      <c r="C35" s="52">
        <f>C7/C25</f>
        <v>0.022587985547178863</v>
      </c>
      <c r="D35" s="52">
        <f>D7/D25</f>
        <v>0.020830549853639576</v>
      </c>
      <c r="E35" s="53">
        <f>E7/E25</f>
        <v>0.01083654500113353</v>
      </c>
      <c r="F35" s="53">
        <f>F7/F25</f>
        <v>0.010670342884211292</v>
      </c>
      <c r="G35" s="53">
        <f>G7/G25</f>
        <v>0.009972053900002767</v>
      </c>
      <c r="H35" s="53"/>
      <c r="I35" s="108"/>
      <c r="K35" s="2" t="s">
        <v>28</v>
      </c>
      <c r="L35" s="52">
        <f>C35</f>
        <v>0.022587985547178863</v>
      </c>
      <c r="M35" s="52">
        <f t="shared" si="7"/>
        <v>0.020830549853639576</v>
      </c>
      <c r="N35" s="53">
        <f t="shared" si="7"/>
        <v>0.01083654500113353</v>
      </c>
      <c r="O35" s="53">
        <f t="shared" si="7"/>
        <v>0.010670342884211292</v>
      </c>
      <c r="P35" s="53">
        <f t="shared" si="7"/>
        <v>0.009972053900002767</v>
      </c>
    </row>
    <row r="36" spans="2:16" ht="12.75">
      <c r="B36" s="2" t="s">
        <v>29</v>
      </c>
      <c r="C36" s="52">
        <f>(C12-C7)/C25</f>
        <v>0.021446590719078746</v>
      </c>
      <c r="D36" s="52">
        <f>(D12-D7)/D25</f>
        <v>0.01823128590688805</v>
      </c>
      <c r="E36" s="53">
        <f>(E12-E7)/E25</f>
        <v>0.009197784758882015</v>
      </c>
      <c r="F36" s="53">
        <f>(F12-F7)/F25</f>
        <v>0.009607559728413359</v>
      </c>
      <c r="G36" s="53">
        <f>(G12-G7)/G25</f>
        <v>0.011964251127528294</v>
      </c>
      <c r="H36" s="53"/>
      <c r="I36" s="108"/>
      <c r="K36" s="2" t="s">
        <v>29</v>
      </c>
      <c r="L36" s="52">
        <f>C36</f>
        <v>0.021446590719078746</v>
      </c>
      <c r="M36" s="52">
        <f t="shared" si="7"/>
        <v>0.01823128590688805</v>
      </c>
      <c r="N36" s="53">
        <f t="shared" si="7"/>
        <v>0.009197784758882015</v>
      </c>
      <c r="O36" s="53">
        <f t="shared" si="7"/>
        <v>0.009607559728413359</v>
      </c>
      <c r="P36" s="53">
        <f t="shared" si="7"/>
        <v>0.011964251127528294</v>
      </c>
    </row>
    <row r="37" spans="2:16" ht="12.75">
      <c r="B37" s="2" t="s">
        <v>20</v>
      </c>
      <c r="C37" s="52">
        <f>-C15/C12</f>
        <v>0.6336470199768862</v>
      </c>
      <c r="D37" s="52">
        <f>-D15/D12</f>
        <v>0.6120957711442786</v>
      </c>
      <c r="E37" s="53">
        <f>-E15/E12</f>
        <v>0.639508567733592</v>
      </c>
      <c r="F37" s="53">
        <f>-F15/F12</f>
        <v>0.5867026055705301</v>
      </c>
      <c r="G37" s="53">
        <f>-G15/G12</f>
        <v>0.5671039354187689</v>
      </c>
      <c r="H37" s="53"/>
      <c r="I37" s="108"/>
      <c r="K37" s="2" t="s">
        <v>20</v>
      </c>
      <c r="L37" s="52">
        <f>C37</f>
        <v>0.6336470199768862</v>
      </c>
      <c r="M37" s="52">
        <f t="shared" si="7"/>
        <v>0.6120957711442786</v>
      </c>
      <c r="N37" s="53">
        <f t="shared" si="7"/>
        <v>0.639508567733592</v>
      </c>
      <c r="O37" s="53">
        <f t="shared" si="7"/>
        <v>0.5867026055705301</v>
      </c>
      <c r="P37" s="53">
        <f t="shared" si="7"/>
        <v>0.5671039354187689</v>
      </c>
    </row>
    <row r="38" spans="3:16" ht="12.75">
      <c r="C38" s="41"/>
      <c r="D38" s="41"/>
      <c r="E38" s="41"/>
      <c r="F38" s="41"/>
      <c r="G38" s="41"/>
      <c r="H38" s="41"/>
      <c r="I38" s="105"/>
      <c r="L38" s="41"/>
      <c r="M38" s="41"/>
      <c r="N38" s="41"/>
      <c r="O38" s="41"/>
      <c r="P38" s="41"/>
    </row>
    <row r="39" spans="2:16" ht="12.75">
      <c r="B39" s="15" t="s">
        <v>25</v>
      </c>
      <c r="C39" s="41"/>
      <c r="D39" s="41"/>
      <c r="E39" s="41"/>
      <c r="F39" s="41"/>
      <c r="G39" s="41"/>
      <c r="H39" s="41"/>
      <c r="I39" s="105"/>
      <c r="K39" s="15" t="s">
        <v>25</v>
      </c>
      <c r="L39" s="41"/>
      <c r="M39" s="41"/>
      <c r="N39" s="41"/>
      <c r="O39" s="41"/>
      <c r="P39" s="41"/>
    </row>
    <row r="40" spans="3:9" ht="12.75">
      <c r="C40" s="41"/>
      <c r="D40" s="41"/>
      <c r="E40" s="41"/>
      <c r="F40" s="41"/>
      <c r="G40" s="41"/>
      <c r="H40" s="41"/>
      <c r="I40" s="105"/>
    </row>
  </sheetData>
  <sheetProtection/>
  <printOptions/>
  <pageMargins left="0.75" right="0.75" top="1" bottom="1" header="0" footer="0"/>
  <pageSetup horizontalDpi="600" verticalDpi="600" orientation="portrait" paperSize="9" scale="79" r:id="rId2"/>
  <ignoredErrors>
    <ignoredError sqref="C11:G11 D34" formulaRange="1"/>
    <ignoredError sqref="C12:G12" formulaRange="1" unlockedFormula="1"/>
    <ignoredError sqref="L25:P30 F28 L7:M9 N12:P20 N7:P11 L12:M20" unlockedFormula="1"/>
  </ignoredErrors>
  <legacyDrawing r:id="rId1"/>
</worksheet>
</file>

<file path=xl/worksheets/sheet4.xml><?xml version="1.0" encoding="utf-8"?>
<worksheet xmlns="http://schemas.openxmlformats.org/spreadsheetml/2006/main" xmlns:r="http://schemas.openxmlformats.org/officeDocument/2006/relationships">
  <sheetPr codeName="Sheet8"/>
  <dimension ref="A2:IQ41"/>
  <sheetViews>
    <sheetView zoomScalePageLayoutView="0" workbookViewId="0" topLeftCell="A1">
      <selection activeCell="A1" sqref="A1"/>
    </sheetView>
  </sheetViews>
  <sheetFormatPr defaultColWidth="9.00390625" defaultRowHeight="12.75"/>
  <cols>
    <col min="1" max="1" width="9.00390625" style="1" customWidth="1"/>
    <col min="2" max="2" width="42.25390625" style="1" bestFit="1" customWidth="1"/>
    <col min="3" max="8" width="10.25390625" style="1" customWidth="1"/>
    <col min="9" max="9" width="1.12109375" style="96" customWidth="1"/>
    <col min="10" max="10" width="9.00390625" style="1" customWidth="1"/>
    <col min="11" max="11" width="39.00390625" style="1" bestFit="1" customWidth="1"/>
    <col min="12" max="16" width="10.125" style="1" customWidth="1"/>
    <col min="17" max="16384" width="9.00390625" style="1" customWidth="1"/>
  </cols>
  <sheetData>
    <row r="1" ht="13.5" thickBot="1"/>
    <row r="2" spans="2:15" ht="15.75" thickBot="1">
      <c r="B2" s="16" t="s">
        <v>37</v>
      </c>
      <c r="C2" s="19"/>
      <c r="D2" s="19"/>
      <c r="E2" s="19"/>
      <c r="F2" s="19"/>
      <c r="G2" s="19"/>
      <c r="H2" s="19"/>
      <c r="I2" s="117"/>
      <c r="K2" s="1" t="s">
        <v>47</v>
      </c>
      <c r="O2" s="23">
        <f>Frontpage!J2</f>
        <v>7.46</v>
      </c>
    </row>
    <row r="6" spans="2:16" ht="14.25">
      <c r="B6" s="5" t="s">
        <v>12</v>
      </c>
      <c r="C6" s="5">
        <v>2004</v>
      </c>
      <c r="D6" s="5">
        <v>2005</v>
      </c>
      <c r="E6" s="6" t="s">
        <v>24</v>
      </c>
      <c r="F6" s="6" t="s">
        <v>23</v>
      </c>
      <c r="G6" s="6" t="s">
        <v>22</v>
      </c>
      <c r="H6" s="94"/>
      <c r="I6" s="97"/>
      <c r="K6" s="5" t="s">
        <v>48</v>
      </c>
      <c r="L6" s="5">
        <v>2004</v>
      </c>
      <c r="M6" s="5">
        <v>2005</v>
      </c>
      <c r="N6" s="6" t="s">
        <v>24</v>
      </c>
      <c r="O6" s="6" t="s">
        <v>23</v>
      </c>
      <c r="P6" s="6" t="s">
        <v>22</v>
      </c>
    </row>
    <row r="7" spans="2:16" ht="12.75">
      <c r="B7" s="1" t="s">
        <v>0</v>
      </c>
      <c r="C7" s="24">
        <v>189.65</v>
      </c>
      <c r="D7" s="24">
        <v>198.35</v>
      </c>
      <c r="E7" s="25">
        <v>96.8</v>
      </c>
      <c r="F7" s="27">
        <f>D7-E7</f>
        <v>101.55</v>
      </c>
      <c r="G7" s="25">
        <v>110.7</v>
      </c>
      <c r="H7" s="25"/>
      <c r="I7" s="98"/>
      <c r="J7" s="2"/>
      <c r="K7" s="1" t="s">
        <v>0</v>
      </c>
      <c r="L7" s="24">
        <f>C7*$O$2</f>
        <v>1414.789</v>
      </c>
      <c r="M7" s="24">
        <f>D7*$O$2</f>
        <v>1479.691</v>
      </c>
      <c r="N7" s="25">
        <f>E7*$O$2</f>
        <v>722.1279999999999</v>
      </c>
      <c r="O7" s="27">
        <f>F7*$O$2</f>
        <v>757.563</v>
      </c>
      <c r="P7" s="25">
        <f>G7*$O$2</f>
        <v>825.822</v>
      </c>
    </row>
    <row r="8" spans="3:16" ht="12.75">
      <c r="C8" s="33"/>
      <c r="D8" s="33"/>
      <c r="E8" s="27"/>
      <c r="F8" s="27"/>
      <c r="G8" s="27"/>
      <c r="H8" s="27"/>
      <c r="I8" s="99"/>
      <c r="J8" s="2"/>
      <c r="L8" s="33"/>
      <c r="M8" s="33"/>
      <c r="N8" s="27"/>
      <c r="O8" s="27"/>
      <c r="P8" s="27"/>
    </row>
    <row r="9" spans="3:16" ht="12.75">
      <c r="C9" s="33"/>
      <c r="D9" s="33"/>
      <c r="E9" s="27"/>
      <c r="F9" s="27"/>
      <c r="G9" s="27"/>
      <c r="H9" s="27"/>
      <c r="I9" s="99"/>
      <c r="J9" s="2"/>
      <c r="L9" s="33"/>
      <c r="M9" s="33"/>
      <c r="N9" s="27"/>
      <c r="O9" s="27"/>
      <c r="P9" s="27"/>
    </row>
    <row r="10" spans="3:17" ht="12.75">
      <c r="C10" s="28"/>
      <c r="D10" s="28"/>
      <c r="E10" s="29"/>
      <c r="F10" s="29"/>
      <c r="G10" s="29"/>
      <c r="H10" s="29"/>
      <c r="I10" s="100"/>
      <c r="J10" s="2"/>
      <c r="L10" s="28"/>
      <c r="M10" s="28"/>
      <c r="N10" s="29"/>
      <c r="O10" s="29"/>
      <c r="P10" s="29"/>
      <c r="Q10" s="29"/>
    </row>
    <row r="11" spans="2:16" ht="12.75">
      <c r="B11" s="1" t="s">
        <v>3</v>
      </c>
      <c r="C11" s="33">
        <f>C12-C7</f>
        <v>80.30999999999997</v>
      </c>
      <c r="D11" s="33">
        <f>D12-D7</f>
        <v>82.05000000000004</v>
      </c>
      <c r="E11" s="27">
        <f>E12-E7</f>
        <v>38.09999999999998</v>
      </c>
      <c r="F11" s="31">
        <f>F12-F7</f>
        <v>43.95000000000006</v>
      </c>
      <c r="G11" s="27">
        <f>G12-G7</f>
        <v>46.64999999999999</v>
      </c>
      <c r="H11" s="27"/>
      <c r="I11" s="99"/>
      <c r="J11" s="2"/>
      <c r="K11" s="1" t="s">
        <v>3</v>
      </c>
      <c r="L11" s="33">
        <f aca="true" t="shared" si="0" ref="L11:L18">C11*$O$2</f>
        <v>599.1125999999998</v>
      </c>
      <c r="M11" s="33">
        <f aca="true" t="shared" si="1" ref="M11:M18">D11*$O$2</f>
        <v>612.0930000000003</v>
      </c>
      <c r="N11" s="27">
        <f aca="true" t="shared" si="2" ref="N11:N18">E11*$O$2</f>
        <v>284.22599999999983</v>
      </c>
      <c r="O11" s="31">
        <f aca="true" t="shared" si="3" ref="O11:O18">F11*$O$2</f>
        <v>327.8670000000004</v>
      </c>
      <c r="P11" s="27">
        <f aca="true" t="shared" si="4" ref="P11:P18">G11*$O$2</f>
        <v>348.00899999999996</v>
      </c>
    </row>
    <row r="12" spans="2:16" ht="12.75">
      <c r="B12" s="9" t="s">
        <v>7</v>
      </c>
      <c r="C12" s="54">
        <f>271-1.04</f>
        <v>269.96</v>
      </c>
      <c r="D12" s="54">
        <f>277.8+2.6</f>
        <v>280.40000000000003</v>
      </c>
      <c r="E12" s="55">
        <f>134.7+0.2</f>
        <v>134.89999999999998</v>
      </c>
      <c r="F12" s="27">
        <f>D12-E12</f>
        <v>145.50000000000006</v>
      </c>
      <c r="G12" s="55">
        <f>155.1+2.25</f>
        <v>157.35</v>
      </c>
      <c r="H12" s="32"/>
      <c r="I12" s="102"/>
      <c r="J12" s="2"/>
      <c r="K12" s="9" t="s">
        <v>7</v>
      </c>
      <c r="L12" s="54">
        <f t="shared" si="0"/>
        <v>2013.9016</v>
      </c>
      <c r="M12" s="54">
        <f t="shared" si="1"/>
        <v>2091.784</v>
      </c>
      <c r="N12" s="55">
        <f t="shared" si="2"/>
        <v>1006.3539999999998</v>
      </c>
      <c r="O12" s="27">
        <f t="shared" si="3"/>
        <v>1085.4300000000005</v>
      </c>
      <c r="P12" s="55">
        <f t="shared" si="4"/>
        <v>1173.831</v>
      </c>
    </row>
    <row r="13" spans="2:16" ht="12.75">
      <c r="B13" s="18" t="s">
        <v>30</v>
      </c>
      <c r="C13" s="56"/>
      <c r="D13" s="56"/>
      <c r="E13" s="57"/>
      <c r="F13" s="57"/>
      <c r="G13" s="57"/>
      <c r="H13" s="57"/>
      <c r="I13" s="101"/>
      <c r="J13" s="2"/>
      <c r="K13" s="18" t="s">
        <v>30</v>
      </c>
      <c r="L13" s="56"/>
      <c r="M13" s="56"/>
      <c r="N13" s="57"/>
      <c r="O13" s="57"/>
      <c r="P13" s="57"/>
    </row>
    <row r="14" spans="2:16" ht="12.75">
      <c r="B14" s="18" t="s">
        <v>31</v>
      </c>
      <c r="C14" s="56"/>
      <c r="D14" s="56"/>
      <c r="E14" s="57"/>
      <c r="F14" s="57"/>
      <c r="G14" s="57"/>
      <c r="H14" s="57"/>
      <c r="I14" s="101"/>
      <c r="J14" s="2"/>
      <c r="K14" s="18" t="s">
        <v>31</v>
      </c>
      <c r="L14" s="56"/>
      <c r="M14" s="56"/>
      <c r="N14" s="57"/>
      <c r="O14" s="57"/>
      <c r="P14" s="57"/>
    </row>
    <row r="15" spans="2:16" ht="12.75">
      <c r="B15" s="8" t="s">
        <v>9</v>
      </c>
      <c r="C15" s="58">
        <v>-194.7</v>
      </c>
      <c r="D15" s="58">
        <v>-196.7</v>
      </c>
      <c r="E15" s="32">
        <v>-96.5</v>
      </c>
      <c r="F15" s="57">
        <f>D15-E15</f>
        <v>-100.19999999999999</v>
      </c>
      <c r="G15" s="32">
        <v>-102.6</v>
      </c>
      <c r="H15" s="32"/>
      <c r="I15" s="102"/>
      <c r="J15" s="2"/>
      <c r="K15" s="8" t="s">
        <v>9</v>
      </c>
      <c r="L15" s="58">
        <f t="shared" si="0"/>
        <v>-1452.462</v>
      </c>
      <c r="M15" s="58">
        <f t="shared" si="1"/>
        <v>-1467.3819999999998</v>
      </c>
      <c r="N15" s="32">
        <f t="shared" si="2"/>
        <v>-719.89</v>
      </c>
      <c r="O15" s="57">
        <f t="shared" si="3"/>
        <v>-747.492</v>
      </c>
      <c r="P15" s="32">
        <f t="shared" si="4"/>
        <v>-765.396</v>
      </c>
    </row>
    <row r="16" spans="2:16" ht="12.75">
      <c r="B16" s="9" t="s">
        <v>10</v>
      </c>
      <c r="C16" s="59">
        <f>C12+C15</f>
        <v>75.25999999999999</v>
      </c>
      <c r="D16" s="59">
        <f>D12+D15</f>
        <v>83.70000000000005</v>
      </c>
      <c r="E16" s="34">
        <f>+E12+E15</f>
        <v>38.39999999999998</v>
      </c>
      <c r="F16" s="34">
        <f>+F12+F15</f>
        <v>45.30000000000007</v>
      </c>
      <c r="G16" s="34">
        <f>+G12+G15</f>
        <v>54.75</v>
      </c>
      <c r="H16" s="57"/>
      <c r="I16" s="101"/>
      <c r="J16" s="2"/>
      <c r="K16" s="9" t="s">
        <v>10</v>
      </c>
      <c r="L16" s="59">
        <f t="shared" si="0"/>
        <v>561.4395999999999</v>
      </c>
      <c r="M16" s="59">
        <f t="shared" si="1"/>
        <v>624.4020000000004</v>
      </c>
      <c r="N16" s="34">
        <f t="shared" si="2"/>
        <v>286.4639999999998</v>
      </c>
      <c r="O16" s="34">
        <f t="shared" si="3"/>
        <v>337.9380000000005</v>
      </c>
      <c r="P16" s="34">
        <f t="shared" si="4"/>
        <v>408.435</v>
      </c>
    </row>
    <row r="17" spans="2:16" ht="12.75">
      <c r="B17" s="8" t="s">
        <v>4</v>
      </c>
      <c r="C17" s="58">
        <v>1</v>
      </c>
      <c r="D17" s="58">
        <v>-2.64</v>
      </c>
      <c r="E17" s="32">
        <v>-0.2</v>
      </c>
      <c r="F17" s="57">
        <f>D17-E17</f>
        <v>-2.44</v>
      </c>
      <c r="G17" s="32">
        <v>-2.3</v>
      </c>
      <c r="H17" s="32"/>
      <c r="I17" s="102"/>
      <c r="J17" s="2"/>
      <c r="K17" s="8" t="s">
        <v>4</v>
      </c>
      <c r="L17" s="58">
        <f t="shared" si="0"/>
        <v>7.46</v>
      </c>
      <c r="M17" s="58">
        <f t="shared" si="1"/>
        <v>-19.6944</v>
      </c>
      <c r="N17" s="32">
        <f t="shared" si="2"/>
        <v>-1.492</v>
      </c>
      <c r="O17" s="57">
        <f t="shared" si="3"/>
        <v>-18.2024</v>
      </c>
      <c r="P17" s="32">
        <f t="shared" si="4"/>
        <v>-17.157999999999998</v>
      </c>
    </row>
    <row r="18" spans="2:16" ht="12.75">
      <c r="B18" s="12" t="s">
        <v>5</v>
      </c>
      <c r="C18" s="36">
        <f>C16+C17</f>
        <v>76.25999999999999</v>
      </c>
      <c r="D18" s="36">
        <f>D16+D17</f>
        <v>81.06000000000004</v>
      </c>
      <c r="E18" s="37">
        <f>+E16+E17</f>
        <v>38.199999999999974</v>
      </c>
      <c r="F18" s="37">
        <f>+F16+F17</f>
        <v>42.86000000000007</v>
      </c>
      <c r="G18" s="37">
        <f>+G16+G17</f>
        <v>52.45</v>
      </c>
      <c r="H18" s="57"/>
      <c r="I18" s="101"/>
      <c r="J18" s="2"/>
      <c r="K18" s="12" t="s">
        <v>5</v>
      </c>
      <c r="L18" s="36">
        <f t="shared" si="0"/>
        <v>568.8996</v>
      </c>
      <c r="M18" s="36">
        <f t="shared" si="1"/>
        <v>604.7076000000003</v>
      </c>
      <c r="N18" s="37">
        <f t="shared" si="2"/>
        <v>284.9719999999998</v>
      </c>
      <c r="O18" s="37">
        <f t="shared" si="3"/>
        <v>319.73560000000055</v>
      </c>
      <c r="P18" s="37">
        <f t="shared" si="4"/>
        <v>391.27700000000004</v>
      </c>
    </row>
    <row r="19" spans="3:16" ht="12.75">
      <c r="C19" s="2"/>
      <c r="D19" s="2"/>
      <c r="E19" s="2"/>
      <c r="F19" s="2"/>
      <c r="G19" s="2"/>
      <c r="H19" s="2"/>
      <c r="I19" s="116"/>
      <c r="J19" s="2"/>
      <c r="L19" s="2"/>
      <c r="M19" s="2"/>
      <c r="N19" s="2"/>
      <c r="O19" s="2"/>
      <c r="P19" s="2"/>
    </row>
    <row r="20" spans="3:16" ht="12.75">
      <c r="C20" s="2"/>
      <c r="D20" s="2"/>
      <c r="E20" s="2"/>
      <c r="F20" s="2"/>
      <c r="G20" s="2"/>
      <c r="H20" s="2"/>
      <c r="I20" s="116"/>
      <c r="J20" s="2"/>
      <c r="L20" s="2"/>
      <c r="M20" s="2"/>
      <c r="N20" s="2"/>
      <c r="O20" s="2"/>
      <c r="P20" s="2"/>
    </row>
    <row r="21" spans="3:16" ht="12.75">
      <c r="C21" s="2"/>
      <c r="D21" s="2"/>
      <c r="E21" s="2"/>
      <c r="F21" s="2"/>
      <c r="G21" s="2"/>
      <c r="H21" s="2"/>
      <c r="I21" s="116"/>
      <c r="J21" s="2"/>
      <c r="L21" s="2"/>
      <c r="M21" s="2"/>
      <c r="N21" s="2"/>
      <c r="O21" s="2"/>
      <c r="P21" s="2"/>
    </row>
    <row r="22" spans="3:16" ht="12.75">
      <c r="C22" s="2"/>
      <c r="D22" s="2"/>
      <c r="E22" s="2"/>
      <c r="F22" s="2"/>
      <c r="G22" s="2"/>
      <c r="H22" s="2"/>
      <c r="I22" s="116"/>
      <c r="J22" s="2"/>
      <c r="L22" s="2"/>
      <c r="M22" s="2"/>
      <c r="N22" s="2"/>
      <c r="O22" s="2"/>
      <c r="P22" s="2"/>
    </row>
    <row r="23" spans="3:16" ht="12.75">
      <c r="C23" s="2"/>
      <c r="D23" s="2"/>
      <c r="E23" s="2"/>
      <c r="F23" s="2"/>
      <c r="G23" s="2"/>
      <c r="H23" s="2"/>
      <c r="I23" s="116"/>
      <c r="J23" s="2"/>
      <c r="L23" s="2"/>
      <c r="M23" s="2"/>
      <c r="N23" s="2"/>
      <c r="O23" s="2"/>
      <c r="P23" s="2"/>
    </row>
    <row r="24" spans="2:16" ht="14.25">
      <c r="B24" s="5" t="s">
        <v>12</v>
      </c>
      <c r="C24" s="5">
        <v>2004</v>
      </c>
      <c r="D24" s="5">
        <v>2005</v>
      </c>
      <c r="E24" s="6" t="s">
        <v>24</v>
      </c>
      <c r="F24" s="6" t="s">
        <v>23</v>
      </c>
      <c r="G24" s="6" t="s">
        <v>22</v>
      </c>
      <c r="H24" s="94"/>
      <c r="I24" s="97"/>
      <c r="J24" s="41"/>
      <c r="K24" s="5" t="s">
        <v>48</v>
      </c>
      <c r="L24" s="5">
        <v>2004</v>
      </c>
      <c r="M24" s="5">
        <v>2005</v>
      </c>
      <c r="N24" s="6" t="s">
        <v>24</v>
      </c>
      <c r="O24" s="6" t="s">
        <v>23</v>
      </c>
      <c r="P24" s="6" t="s">
        <v>22</v>
      </c>
    </row>
    <row r="25" spans="2:16" ht="12.75">
      <c r="B25" s="2" t="s">
        <v>15</v>
      </c>
      <c r="C25" s="42"/>
      <c r="D25" s="42"/>
      <c r="E25" s="43"/>
      <c r="F25" s="44"/>
      <c r="G25" s="43"/>
      <c r="H25" s="43"/>
      <c r="I25" s="106"/>
      <c r="J25" s="41"/>
      <c r="K25" s="2" t="s">
        <v>15</v>
      </c>
      <c r="L25" s="42"/>
      <c r="M25" s="42"/>
      <c r="N25" s="43"/>
      <c r="O25" s="44"/>
      <c r="P25" s="43"/>
    </row>
    <row r="26" spans="2:16" ht="12.75">
      <c r="B26" s="3" t="s">
        <v>33</v>
      </c>
      <c r="C26" s="45">
        <v>7146</v>
      </c>
      <c r="D26" s="45">
        <v>8934.5</v>
      </c>
      <c r="E26" s="46">
        <v>7914.1</v>
      </c>
      <c r="F26" s="47">
        <f>D26</f>
        <v>8934.5</v>
      </c>
      <c r="G26" s="46">
        <v>9724.1</v>
      </c>
      <c r="H26" s="46"/>
      <c r="I26" s="107"/>
      <c r="J26" s="41"/>
      <c r="K26" s="3" t="s">
        <v>33</v>
      </c>
      <c r="L26" s="45">
        <f aca="true" t="shared" si="5" ref="L26:P28">C26*$O$2</f>
        <v>53309.159999999996</v>
      </c>
      <c r="M26" s="45">
        <f t="shared" si="5"/>
        <v>66651.37</v>
      </c>
      <c r="N26" s="46">
        <f t="shared" si="5"/>
        <v>59039.186</v>
      </c>
      <c r="O26" s="47">
        <f t="shared" si="5"/>
        <v>66651.37</v>
      </c>
      <c r="P26" s="46">
        <f t="shared" si="5"/>
        <v>72541.78600000001</v>
      </c>
    </row>
    <row r="27" spans="2:16" ht="12.75">
      <c r="B27" s="8" t="s">
        <v>8</v>
      </c>
      <c r="C27" s="45">
        <v>7204.7</v>
      </c>
      <c r="D27" s="45">
        <v>8983.3</v>
      </c>
      <c r="E27" s="46">
        <v>7968.3</v>
      </c>
      <c r="F27" s="48">
        <f>D27</f>
        <v>8983.3</v>
      </c>
      <c r="G27" s="46">
        <v>9797.6</v>
      </c>
      <c r="H27" s="46"/>
      <c r="I27" s="107"/>
      <c r="J27" s="41"/>
      <c r="K27" s="8" t="s">
        <v>8</v>
      </c>
      <c r="L27" s="45">
        <f t="shared" si="5"/>
        <v>53747.062</v>
      </c>
      <c r="M27" s="45">
        <f t="shared" si="5"/>
        <v>67015.41799999999</v>
      </c>
      <c r="N27" s="46">
        <f t="shared" si="5"/>
        <v>59443.518000000004</v>
      </c>
      <c r="O27" s="48">
        <f t="shared" si="5"/>
        <v>67015.41799999999</v>
      </c>
      <c r="P27" s="46">
        <f t="shared" si="5"/>
        <v>73090.096</v>
      </c>
    </row>
    <row r="28" spans="2:16" ht="12.75">
      <c r="B28" s="3" t="s">
        <v>27</v>
      </c>
      <c r="C28" s="45">
        <v>5295.9</v>
      </c>
      <c r="D28" s="45">
        <v>5515.9</v>
      </c>
      <c r="E28" s="46">
        <v>4995.3</v>
      </c>
      <c r="F28" s="47">
        <f>D28</f>
        <v>5515.9</v>
      </c>
      <c r="G28" s="46">
        <v>5392.8</v>
      </c>
      <c r="H28" s="46"/>
      <c r="I28" s="107"/>
      <c r="J28" s="41"/>
      <c r="K28" s="3" t="s">
        <v>27</v>
      </c>
      <c r="L28" s="45">
        <f t="shared" si="5"/>
        <v>39507.414</v>
      </c>
      <c r="M28" s="45">
        <f t="shared" si="5"/>
        <v>41148.613999999994</v>
      </c>
      <c r="N28" s="46">
        <f t="shared" si="5"/>
        <v>37264.938</v>
      </c>
      <c r="O28" s="47">
        <f t="shared" si="5"/>
        <v>41148.613999999994</v>
      </c>
      <c r="P28" s="46">
        <f t="shared" si="5"/>
        <v>40230.288</v>
      </c>
    </row>
    <row r="29" spans="2:16" ht="12.75">
      <c r="B29" s="2" t="s">
        <v>34</v>
      </c>
      <c r="C29" s="42"/>
      <c r="D29" s="42"/>
      <c r="E29" s="43"/>
      <c r="F29" s="47"/>
      <c r="G29" s="43"/>
      <c r="H29" s="43"/>
      <c r="I29" s="106"/>
      <c r="J29" s="41"/>
      <c r="K29" s="2" t="s">
        <v>34</v>
      </c>
      <c r="L29" s="42"/>
      <c r="M29" s="42"/>
      <c r="N29" s="43"/>
      <c r="O29" s="47"/>
      <c r="P29" s="43"/>
    </row>
    <row r="30" spans="1:251" s="14" customFormat="1" ht="12.75">
      <c r="A30" s="13"/>
      <c r="B30" s="11" t="s">
        <v>16</v>
      </c>
      <c r="C30" s="49"/>
      <c r="D30" s="49"/>
      <c r="E30" s="50"/>
      <c r="F30" s="51"/>
      <c r="G30" s="50"/>
      <c r="H30" s="46"/>
      <c r="I30" s="107"/>
      <c r="J30" s="60"/>
      <c r="K30" s="11" t="s">
        <v>16</v>
      </c>
      <c r="L30" s="49"/>
      <c r="M30" s="49"/>
      <c r="N30" s="50"/>
      <c r="O30" s="51"/>
      <c r="P30" s="50"/>
      <c r="Q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row>
    <row r="31" spans="3:16" ht="12.75">
      <c r="C31" s="41"/>
      <c r="D31" s="61"/>
      <c r="E31" s="41"/>
      <c r="F31" s="41"/>
      <c r="G31" s="41"/>
      <c r="H31" s="41"/>
      <c r="I31" s="105"/>
      <c r="J31" s="41"/>
      <c r="L31" s="41"/>
      <c r="M31" s="61"/>
      <c r="N31" s="41"/>
      <c r="O31" s="41"/>
      <c r="P31" s="41"/>
    </row>
    <row r="32" spans="3:16" ht="12.75">
      <c r="C32" s="41"/>
      <c r="D32" s="41"/>
      <c r="E32" s="41"/>
      <c r="F32" s="41"/>
      <c r="G32" s="41"/>
      <c r="H32" s="41"/>
      <c r="I32" s="105"/>
      <c r="J32" s="41"/>
      <c r="L32" s="41"/>
      <c r="M32" s="41"/>
      <c r="N32" s="41"/>
      <c r="O32" s="41"/>
      <c r="P32" s="41"/>
    </row>
    <row r="33" spans="3:16" ht="12.75">
      <c r="C33" s="41"/>
      <c r="D33" s="41"/>
      <c r="E33" s="41"/>
      <c r="F33" s="41"/>
      <c r="G33" s="41"/>
      <c r="H33" s="41"/>
      <c r="I33" s="105"/>
      <c r="J33" s="41"/>
      <c r="L33" s="41"/>
      <c r="M33" s="41"/>
      <c r="N33" s="41"/>
      <c r="O33" s="41"/>
      <c r="P33" s="41"/>
    </row>
    <row r="34" spans="3:16" ht="12.75">
      <c r="C34" s="41"/>
      <c r="D34" s="41"/>
      <c r="E34" s="41"/>
      <c r="F34" s="41"/>
      <c r="G34" s="41"/>
      <c r="H34" s="41"/>
      <c r="I34" s="105"/>
      <c r="J34" s="41"/>
      <c r="L34" s="41">
        <f aca="true" t="shared" si="6" ref="L34:P35">C34</f>
        <v>0</v>
      </c>
      <c r="M34" s="41">
        <f t="shared" si="6"/>
        <v>0</v>
      </c>
      <c r="N34" s="41">
        <f t="shared" si="6"/>
        <v>0</v>
      </c>
      <c r="O34" s="41">
        <f t="shared" si="6"/>
        <v>0</v>
      </c>
      <c r="P34" s="41">
        <f t="shared" si="6"/>
        <v>0</v>
      </c>
    </row>
    <row r="35" spans="2:16" ht="14.25">
      <c r="B35" s="5"/>
      <c r="C35" s="5">
        <v>2004</v>
      </c>
      <c r="D35" s="5">
        <v>2005</v>
      </c>
      <c r="E35" s="6" t="s">
        <v>24</v>
      </c>
      <c r="F35" s="6" t="s">
        <v>23</v>
      </c>
      <c r="G35" s="6" t="s">
        <v>22</v>
      </c>
      <c r="H35" s="94"/>
      <c r="I35" s="97"/>
      <c r="J35" s="41"/>
      <c r="K35" s="5"/>
      <c r="L35" s="5">
        <f t="shared" si="6"/>
        <v>2004</v>
      </c>
      <c r="M35" s="5">
        <f t="shared" si="6"/>
        <v>2005</v>
      </c>
      <c r="N35" s="6" t="str">
        <f t="shared" si="6"/>
        <v>1H-2005</v>
      </c>
      <c r="O35" s="6" t="str">
        <f t="shared" si="6"/>
        <v>2H-2005</v>
      </c>
      <c r="P35" s="6" t="str">
        <f t="shared" si="6"/>
        <v>1H-2006</v>
      </c>
    </row>
    <row r="36" spans="1:251" s="14" customFormat="1" ht="25.5">
      <c r="A36" s="13"/>
      <c r="B36" s="17" t="s">
        <v>26</v>
      </c>
      <c r="C36" s="62"/>
      <c r="D36" s="63"/>
      <c r="E36" s="64"/>
      <c r="F36" s="64"/>
      <c r="G36" s="64"/>
      <c r="H36" s="64"/>
      <c r="I36" s="118"/>
      <c r="J36" s="60"/>
      <c r="K36" s="17" t="s">
        <v>26</v>
      </c>
      <c r="L36" s="62"/>
      <c r="M36" s="63"/>
      <c r="N36" s="64"/>
      <c r="O36" s="64"/>
      <c r="P36" s="64"/>
      <c r="Q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row>
    <row r="37" spans="2:16" ht="12.75">
      <c r="B37" s="2" t="s">
        <v>28</v>
      </c>
      <c r="C37" s="52"/>
      <c r="D37" s="52"/>
      <c r="E37" s="53"/>
      <c r="F37" s="53"/>
      <c r="G37" s="53"/>
      <c r="H37" s="53"/>
      <c r="I37" s="108"/>
      <c r="J37" s="41"/>
      <c r="K37" s="2" t="s">
        <v>28</v>
      </c>
      <c r="L37" s="52"/>
      <c r="M37" s="52"/>
      <c r="N37" s="53"/>
      <c r="O37" s="53"/>
      <c r="P37" s="53"/>
    </row>
    <row r="38" spans="2:16" ht="12.75">
      <c r="B38" s="2" t="s">
        <v>29</v>
      </c>
      <c r="C38" s="52"/>
      <c r="D38" s="52"/>
      <c r="E38" s="53"/>
      <c r="F38" s="53"/>
      <c r="G38" s="53"/>
      <c r="H38" s="53"/>
      <c r="I38" s="108"/>
      <c r="J38" s="41"/>
      <c r="K38" s="2" t="s">
        <v>29</v>
      </c>
      <c r="L38" s="52"/>
      <c r="M38" s="52"/>
      <c r="N38" s="53"/>
      <c r="O38" s="53"/>
      <c r="P38" s="53"/>
    </row>
    <row r="39" spans="2:16" ht="12.75">
      <c r="B39" s="2" t="s">
        <v>20</v>
      </c>
      <c r="C39" s="52">
        <f>-C15/C12</f>
        <v>0.721217958216032</v>
      </c>
      <c r="D39" s="52">
        <f>-D15/D12</f>
        <v>0.7014978601997146</v>
      </c>
      <c r="E39" s="53">
        <f>-E15/E12</f>
        <v>0.7153446997776132</v>
      </c>
      <c r="F39" s="53">
        <f>-F15/F12</f>
        <v>0.6886597938144327</v>
      </c>
      <c r="G39" s="53">
        <f>-G15/G12</f>
        <v>0.652049571020019</v>
      </c>
      <c r="H39" s="53"/>
      <c r="I39" s="108"/>
      <c r="J39" s="41"/>
      <c r="K39" s="2" t="s">
        <v>20</v>
      </c>
      <c r="L39" s="52">
        <f>-L15/L12</f>
        <v>0.7212179582160321</v>
      </c>
      <c r="M39" s="52">
        <f>-M15/M12</f>
        <v>0.7014978601997146</v>
      </c>
      <c r="N39" s="53">
        <f>-N15/N12</f>
        <v>0.7153446997776132</v>
      </c>
      <c r="O39" s="53">
        <f>-O15/O12</f>
        <v>0.6886597938144327</v>
      </c>
      <c r="P39" s="53">
        <f>-P15/P12</f>
        <v>0.652049571020019</v>
      </c>
    </row>
    <row r="41" ht="12.75">
      <c r="B41" s="15" t="s">
        <v>25</v>
      </c>
    </row>
  </sheetData>
  <sheetProtection/>
  <printOptions/>
  <pageMargins left="0.75" right="0.75" top="1" bottom="1" header="0" footer="0"/>
  <pageSetup horizontalDpi="600" verticalDpi="600" orientation="portrait" paperSize="9" scale="90" r:id="rId2"/>
  <ignoredErrors>
    <ignoredError sqref="F17 D13:D16 E13:E17 C13:C17 G13:G17 F13:F15 E12 F12 L26:P28 G12 L7:P20 C12" unlockedFormula="1"/>
    <ignoredError sqref="F16" formula="1" unlockedFormula="1"/>
  </ignoredErrors>
  <legacyDrawing r:id="rId1"/>
</worksheet>
</file>

<file path=xl/worksheets/sheet5.xml><?xml version="1.0" encoding="utf-8"?>
<worksheet xmlns="http://schemas.openxmlformats.org/spreadsheetml/2006/main" xmlns:r="http://schemas.openxmlformats.org/officeDocument/2006/relationships">
  <sheetPr codeName="Sheet9"/>
  <dimension ref="A2:IT40"/>
  <sheetViews>
    <sheetView zoomScalePageLayoutView="0" workbookViewId="0" topLeftCell="A1">
      <selection activeCell="A1" sqref="A1"/>
    </sheetView>
  </sheetViews>
  <sheetFormatPr defaultColWidth="9.00390625" defaultRowHeight="12.75"/>
  <cols>
    <col min="1" max="1" width="9.00390625" style="1" customWidth="1"/>
    <col min="2" max="2" width="42.25390625" style="1" bestFit="1" customWidth="1"/>
    <col min="3" max="8" width="10.25390625" style="1" customWidth="1"/>
    <col min="9" max="9" width="1.12109375" style="96" customWidth="1"/>
    <col min="10" max="10" width="9.00390625" style="1" customWidth="1"/>
    <col min="11" max="11" width="42.25390625" style="1" bestFit="1" customWidth="1"/>
    <col min="12" max="16" width="10.125" style="1" customWidth="1"/>
    <col min="17" max="16384" width="9.00390625" style="1" customWidth="1"/>
  </cols>
  <sheetData>
    <row r="1" ht="13.5" thickBot="1"/>
    <row r="2" spans="2:15" ht="15.75" thickBot="1">
      <c r="B2" s="16" t="s">
        <v>38</v>
      </c>
      <c r="C2" s="136"/>
      <c r="D2" s="20"/>
      <c r="E2" s="20"/>
      <c r="F2" s="20"/>
      <c r="G2" s="20"/>
      <c r="H2" s="20"/>
      <c r="I2" s="109"/>
      <c r="K2" s="1" t="s">
        <v>47</v>
      </c>
      <c r="O2" s="23">
        <f>Frontpage!J2</f>
        <v>7.46</v>
      </c>
    </row>
    <row r="6" spans="2:16" ht="14.25">
      <c r="B6" s="5" t="s">
        <v>12</v>
      </c>
      <c r="C6" s="5">
        <v>2004</v>
      </c>
      <c r="D6" s="5">
        <v>2005</v>
      </c>
      <c r="E6" s="6" t="s">
        <v>24</v>
      </c>
      <c r="F6" s="6" t="s">
        <v>23</v>
      </c>
      <c r="G6" s="6" t="s">
        <v>22</v>
      </c>
      <c r="H6" s="94"/>
      <c r="I6" s="97"/>
      <c r="K6" s="5" t="s">
        <v>48</v>
      </c>
      <c r="L6" s="5">
        <v>2004</v>
      </c>
      <c r="M6" s="5">
        <v>2005</v>
      </c>
      <c r="N6" s="6" t="s">
        <v>24</v>
      </c>
      <c r="O6" s="6" t="s">
        <v>23</v>
      </c>
      <c r="P6" s="6" t="s">
        <v>22</v>
      </c>
    </row>
    <row r="7" spans="2:16" ht="12.75">
      <c r="B7" s="1" t="s">
        <v>0</v>
      </c>
      <c r="C7" s="24">
        <v>138.45</v>
      </c>
      <c r="D7" s="24">
        <v>147.15</v>
      </c>
      <c r="E7" s="25">
        <v>70.1</v>
      </c>
      <c r="F7" s="27">
        <f>D7-E7</f>
        <v>77.05000000000001</v>
      </c>
      <c r="G7" s="27">
        <v>81.5</v>
      </c>
      <c r="H7" s="27"/>
      <c r="I7" s="99"/>
      <c r="J7" s="2"/>
      <c r="K7" s="1" t="s">
        <v>0</v>
      </c>
      <c r="L7" s="24">
        <f>C7*$O$2</f>
        <v>1032.837</v>
      </c>
      <c r="M7" s="24">
        <f>D7*$O$2</f>
        <v>1097.739</v>
      </c>
      <c r="N7" s="25">
        <f>E7*$O$2</f>
        <v>522.9459999999999</v>
      </c>
      <c r="O7" s="27">
        <f>F7*$O$2</f>
        <v>574.7930000000001</v>
      </c>
      <c r="P7" s="27">
        <f>G7*$O$2</f>
        <v>607.99</v>
      </c>
    </row>
    <row r="8" spans="3:16" ht="12.75">
      <c r="C8" s="33"/>
      <c r="D8" s="33"/>
      <c r="E8" s="27"/>
      <c r="F8" s="27"/>
      <c r="G8" s="27"/>
      <c r="H8" s="27"/>
      <c r="I8" s="99"/>
      <c r="J8" s="2"/>
      <c r="L8" s="33"/>
      <c r="M8" s="33"/>
      <c r="N8" s="27"/>
      <c r="O8" s="27"/>
      <c r="P8" s="27"/>
    </row>
    <row r="9" spans="3:16" ht="12.75">
      <c r="C9" s="33"/>
      <c r="D9" s="33"/>
      <c r="E9" s="27"/>
      <c r="F9" s="27"/>
      <c r="G9" s="27"/>
      <c r="H9" s="27"/>
      <c r="I9" s="99"/>
      <c r="J9" s="2"/>
      <c r="L9" s="33"/>
      <c r="M9" s="33"/>
      <c r="N9" s="27"/>
      <c r="O9" s="27"/>
      <c r="P9" s="27"/>
    </row>
    <row r="10" spans="3:17" ht="12.75">
      <c r="C10" s="28"/>
      <c r="D10" s="28"/>
      <c r="E10" s="29"/>
      <c r="F10" s="29"/>
      <c r="G10" s="29"/>
      <c r="H10" s="29"/>
      <c r="I10" s="100"/>
      <c r="J10" s="2"/>
      <c r="L10" s="28"/>
      <c r="M10" s="28"/>
      <c r="N10" s="29"/>
      <c r="O10" s="29"/>
      <c r="P10" s="29"/>
      <c r="Q10" s="29"/>
    </row>
    <row r="11" spans="2:16" ht="12.75">
      <c r="B11" s="1" t="s">
        <v>3</v>
      </c>
      <c r="C11" s="33">
        <f>C12-C7</f>
        <v>111.81000000000003</v>
      </c>
      <c r="D11" s="33">
        <f>D12-D7</f>
        <v>131.29999999999998</v>
      </c>
      <c r="E11" s="27">
        <f>E12-E7</f>
        <v>64.6</v>
      </c>
      <c r="F11" s="31">
        <f>F12-F7</f>
        <v>66.69999999999999</v>
      </c>
      <c r="G11" s="27">
        <f>G12-G7</f>
        <v>76.36000000000001</v>
      </c>
      <c r="H11" s="27"/>
      <c r="I11" s="99"/>
      <c r="J11" s="2"/>
      <c r="K11" s="1" t="s">
        <v>3</v>
      </c>
      <c r="L11" s="33">
        <f aca="true" t="shared" si="0" ref="L11:L18">C11*$O$2</f>
        <v>834.1026000000003</v>
      </c>
      <c r="M11" s="33">
        <f aca="true" t="shared" si="1" ref="M11:M18">D11*$O$2</f>
        <v>979.4979999999998</v>
      </c>
      <c r="N11" s="27">
        <f aca="true" t="shared" si="2" ref="N11:N18">E11*$O$2</f>
        <v>481.91599999999994</v>
      </c>
      <c r="O11" s="31">
        <f aca="true" t="shared" si="3" ref="O11:O18">F11*$O$2</f>
        <v>497.58199999999994</v>
      </c>
      <c r="P11" s="27">
        <f aca="true" t="shared" si="4" ref="P11:P18">G11*$O$2</f>
        <v>569.6456000000001</v>
      </c>
    </row>
    <row r="12" spans="2:16" ht="12.75">
      <c r="B12" s="9" t="s">
        <v>7</v>
      </c>
      <c r="C12" s="54">
        <f>264.6-14.34</f>
        <v>250.26000000000002</v>
      </c>
      <c r="D12" s="54">
        <f>285.3-6.85</f>
        <v>278.45</v>
      </c>
      <c r="E12" s="55">
        <f>143-8.3</f>
        <v>134.7</v>
      </c>
      <c r="F12" s="27">
        <f>D12-E12</f>
        <v>143.75</v>
      </c>
      <c r="G12" s="34">
        <f>165.5-7.64</f>
        <v>157.86</v>
      </c>
      <c r="H12" s="57"/>
      <c r="I12" s="101"/>
      <c r="J12" s="2"/>
      <c r="K12" s="9" t="s">
        <v>7</v>
      </c>
      <c r="L12" s="54">
        <f t="shared" si="0"/>
        <v>1866.9396000000002</v>
      </c>
      <c r="M12" s="54">
        <f t="shared" si="1"/>
        <v>2077.237</v>
      </c>
      <c r="N12" s="55">
        <f t="shared" si="2"/>
        <v>1004.862</v>
      </c>
      <c r="O12" s="27">
        <f t="shared" si="3"/>
        <v>1072.375</v>
      </c>
      <c r="P12" s="34">
        <f t="shared" si="4"/>
        <v>1177.6356</v>
      </c>
    </row>
    <row r="13" spans="2:16" ht="12.75">
      <c r="B13" s="18" t="s">
        <v>30</v>
      </c>
      <c r="C13" s="56"/>
      <c r="D13" s="56"/>
      <c r="E13" s="57"/>
      <c r="F13" s="57"/>
      <c r="G13" s="57"/>
      <c r="H13" s="57"/>
      <c r="I13" s="101"/>
      <c r="J13" s="2"/>
      <c r="K13" s="18" t="s">
        <v>30</v>
      </c>
      <c r="L13" s="56"/>
      <c r="M13" s="56"/>
      <c r="N13" s="57"/>
      <c r="O13" s="57"/>
      <c r="P13" s="57"/>
    </row>
    <row r="14" spans="2:16" ht="12.75">
      <c r="B14" s="18" t="s">
        <v>31</v>
      </c>
      <c r="C14" s="56"/>
      <c r="D14" s="56"/>
      <c r="E14" s="57"/>
      <c r="F14" s="57"/>
      <c r="G14" s="57"/>
      <c r="H14" s="57"/>
      <c r="I14" s="101"/>
      <c r="J14" s="2"/>
      <c r="K14" s="18" t="s">
        <v>31</v>
      </c>
      <c r="L14" s="56"/>
      <c r="M14" s="56"/>
      <c r="N14" s="57"/>
      <c r="O14" s="57"/>
      <c r="P14" s="57"/>
    </row>
    <row r="15" spans="2:16" ht="12.75">
      <c r="B15" s="8" t="s">
        <v>9</v>
      </c>
      <c r="C15" s="58">
        <v>-119.1</v>
      </c>
      <c r="D15" s="58">
        <v>-121.3</v>
      </c>
      <c r="E15" s="32">
        <v>-58.7</v>
      </c>
      <c r="F15" s="57">
        <f>D15-E15</f>
        <v>-62.599999999999994</v>
      </c>
      <c r="G15" s="57">
        <v>-62.9</v>
      </c>
      <c r="H15" s="57"/>
      <c r="I15" s="101"/>
      <c r="J15" s="2"/>
      <c r="K15" s="8" t="s">
        <v>9</v>
      </c>
      <c r="L15" s="58">
        <f t="shared" si="0"/>
        <v>-888.486</v>
      </c>
      <c r="M15" s="58">
        <f t="shared" si="1"/>
        <v>-904.898</v>
      </c>
      <c r="N15" s="32">
        <f t="shared" si="2"/>
        <v>-437.90200000000004</v>
      </c>
      <c r="O15" s="57">
        <f t="shared" si="3"/>
        <v>-466.996</v>
      </c>
      <c r="P15" s="57">
        <f t="shared" si="4"/>
        <v>-469.234</v>
      </c>
    </row>
    <row r="16" spans="2:16" ht="12.75">
      <c r="B16" s="9" t="s">
        <v>10</v>
      </c>
      <c r="C16" s="59">
        <f>C12+C15</f>
        <v>131.16000000000003</v>
      </c>
      <c r="D16" s="59">
        <f>D12+D15</f>
        <v>157.14999999999998</v>
      </c>
      <c r="E16" s="34">
        <f>E12+E15</f>
        <v>75.99999999999999</v>
      </c>
      <c r="F16" s="34">
        <f>+F12+F15</f>
        <v>81.15</v>
      </c>
      <c r="G16" s="34">
        <f>G12+G15</f>
        <v>94.96000000000001</v>
      </c>
      <c r="H16" s="57"/>
      <c r="I16" s="101"/>
      <c r="J16" s="2"/>
      <c r="K16" s="9" t="s">
        <v>10</v>
      </c>
      <c r="L16" s="59">
        <f t="shared" si="0"/>
        <v>978.4536000000002</v>
      </c>
      <c r="M16" s="59">
        <f t="shared" si="1"/>
        <v>1172.3389999999997</v>
      </c>
      <c r="N16" s="34">
        <f t="shared" si="2"/>
        <v>566.9599999999999</v>
      </c>
      <c r="O16" s="34">
        <f t="shared" si="3"/>
        <v>605.379</v>
      </c>
      <c r="P16" s="34">
        <f t="shared" si="4"/>
        <v>708.4016</v>
      </c>
    </row>
    <row r="17" spans="2:16" ht="12.75">
      <c r="B17" s="8" t="s">
        <v>4</v>
      </c>
      <c r="C17" s="58">
        <v>14.3</v>
      </c>
      <c r="D17" s="58">
        <v>6.85</v>
      </c>
      <c r="E17" s="32">
        <v>8.3</v>
      </c>
      <c r="F17" s="57">
        <f>D17-E17</f>
        <v>-1.450000000000001</v>
      </c>
      <c r="G17" s="57">
        <v>7.6</v>
      </c>
      <c r="H17" s="57"/>
      <c r="I17" s="101"/>
      <c r="J17" s="2"/>
      <c r="K17" s="8" t="s">
        <v>4</v>
      </c>
      <c r="L17" s="58">
        <f t="shared" si="0"/>
        <v>106.67800000000001</v>
      </c>
      <c r="M17" s="58">
        <f t="shared" si="1"/>
        <v>51.101</v>
      </c>
      <c r="N17" s="32">
        <f t="shared" si="2"/>
        <v>61.918000000000006</v>
      </c>
      <c r="O17" s="57">
        <f t="shared" si="3"/>
        <v>-10.817000000000007</v>
      </c>
      <c r="P17" s="57">
        <f t="shared" si="4"/>
        <v>56.696</v>
      </c>
    </row>
    <row r="18" spans="2:16" ht="12.75">
      <c r="B18" s="12" t="s">
        <v>5</v>
      </c>
      <c r="C18" s="36">
        <f>C16+C17</f>
        <v>145.46000000000004</v>
      </c>
      <c r="D18" s="36">
        <f>D16+D17</f>
        <v>163.99999999999997</v>
      </c>
      <c r="E18" s="37">
        <f>+E16+E17</f>
        <v>84.29999999999998</v>
      </c>
      <c r="F18" s="37">
        <f>+F16+F17</f>
        <v>79.7</v>
      </c>
      <c r="G18" s="37">
        <f>+G16+G17</f>
        <v>102.56</v>
      </c>
      <c r="H18" s="57"/>
      <c r="I18" s="101"/>
      <c r="J18" s="2"/>
      <c r="K18" s="12" t="s">
        <v>5</v>
      </c>
      <c r="L18" s="36">
        <f t="shared" si="0"/>
        <v>1085.1316000000002</v>
      </c>
      <c r="M18" s="36">
        <f t="shared" si="1"/>
        <v>1223.4399999999998</v>
      </c>
      <c r="N18" s="37">
        <f t="shared" si="2"/>
        <v>628.8779999999998</v>
      </c>
      <c r="O18" s="37">
        <f t="shared" si="3"/>
        <v>594.562</v>
      </c>
      <c r="P18" s="37">
        <f t="shared" si="4"/>
        <v>765.0976</v>
      </c>
    </row>
    <row r="19" spans="3:16" ht="12.75">
      <c r="C19" s="2"/>
      <c r="D19" s="2"/>
      <c r="E19" s="2"/>
      <c r="F19" s="2"/>
      <c r="G19" s="2"/>
      <c r="H19" s="2"/>
      <c r="I19" s="116"/>
      <c r="J19" s="2"/>
      <c r="L19" s="2"/>
      <c r="M19" s="2"/>
      <c r="N19" s="2"/>
      <c r="O19" s="2"/>
      <c r="P19" s="2"/>
    </row>
    <row r="20" spans="3:16" ht="12.75">
      <c r="C20" s="2"/>
      <c r="D20" s="2"/>
      <c r="E20" s="2"/>
      <c r="F20" s="2"/>
      <c r="G20" s="2"/>
      <c r="H20" s="2"/>
      <c r="I20" s="116"/>
      <c r="J20" s="2"/>
      <c r="L20" s="2"/>
      <c r="M20" s="2"/>
      <c r="N20" s="2"/>
      <c r="O20" s="2"/>
      <c r="P20" s="2"/>
    </row>
    <row r="21" spans="3:16" ht="12.75">
      <c r="C21" s="2"/>
      <c r="D21" s="2"/>
      <c r="E21" s="2"/>
      <c r="F21" s="2"/>
      <c r="G21" s="2"/>
      <c r="H21" s="2"/>
      <c r="I21" s="116"/>
      <c r="J21" s="2"/>
      <c r="L21" s="2"/>
      <c r="M21" s="2"/>
      <c r="N21" s="2"/>
      <c r="O21" s="2"/>
      <c r="P21" s="2"/>
    </row>
    <row r="22" spans="3:16" ht="12.75">
      <c r="C22" s="2"/>
      <c r="D22" s="2"/>
      <c r="E22" s="2"/>
      <c r="F22" s="2"/>
      <c r="G22" s="2"/>
      <c r="H22" s="2"/>
      <c r="I22" s="116"/>
      <c r="J22" s="2"/>
      <c r="L22" s="2"/>
      <c r="M22" s="2"/>
      <c r="N22" s="2"/>
      <c r="O22" s="2"/>
      <c r="P22" s="2"/>
    </row>
    <row r="23" spans="3:16" ht="12.75">
      <c r="C23" s="2"/>
      <c r="D23" s="2"/>
      <c r="E23" s="2"/>
      <c r="F23" s="2"/>
      <c r="G23" s="2"/>
      <c r="H23" s="2"/>
      <c r="I23" s="116"/>
      <c r="J23" s="2"/>
      <c r="L23" s="2"/>
      <c r="M23" s="2"/>
      <c r="N23" s="2"/>
      <c r="O23" s="2"/>
      <c r="P23" s="2"/>
    </row>
    <row r="24" spans="2:16" ht="14.25">
      <c r="B24" s="5" t="s">
        <v>12</v>
      </c>
      <c r="C24" s="5">
        <v>2004</v>
      </c>
      <c r="D24" s="5">
        <v>2005</v>
      </c>
      <c r="E24" s="6" t="s">
        <v>24</v>
      </c>
      <c r="F24" s="6" t="s">
        <v>23</v>
      </c>
      <c r="G24" s="6" t="s">
        <v>22</v>
      </c>
      <c r="H24" s="94"/>
      <c r="I24" s="97"/>
      <c r="J24" s="41"/>
      <c r="K24" s="5" t="s">
        <v>48</v>
      </c>
      <c r="L24" s="5">
        <v>2004</v>
      </c>
      <c r="M24" s="5">
        <v>2005</v>
      </c>
      <c r="N24" s="6" t="s">
        <v>24</v>
      </c>
      <c r="O24" s="6" t="s">
        <v>23</v>
      </c>
      <c r="P24" s="6" t="s">
        <v>22</v>
      </c>
    </row>
    <row r="25" spans="1:254" s="14" customFormat="1" ht="12.75">
      <c r="A25" s="13"/>
      <c r="B25" s="2" t="s">
        <v>15</v>
      </c>
      <c r="C25" s="42"/>
      <c r="D25" s="42"/>
      <c r="E25" s="43"/>
      <c r="F25" s="44"/>
      <c r="G25" s="43"/>
      <c r="H25" s="43"/>
      <c r="I25" s="106"/>
      <c r="J25" s="60"/>
      <c r="K25" s="2" t="s">
        <v>15</v>
      </c>
      <c r="L25" s="42"/>
      <c r="M25" s="42"/>
      <c r="N25" s="43"/>
      <c r="O25" s="44"/>
      <c r="P25" s="4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row>
    <row r="26" spans="2:16" ht="12.75">
      <c r="B26" s="3" t="s">
        <v>33</v>
      </c>
      <c r="C26" s="45">
        <v>7425.4</v>
      </c>
      <c r="D26" s="45">
        <v>8425.1</v>
      </c>
      <c r="E26" s="46">
        <v>7962.7</v>
      </c>
      <c r="F26" s="47">
        <f>D26</f>
        <v>8425.1</v>
      </c>
      <c r="G26" s="46">
        <v>8835.3</v>
      </c>
      <c r="H26" s="46"/>
      <c r="I26" s="107"/>
      <c r="J26" s="41"/>
      <c r="K26" s="3" t="s">
        <v>33</v>
      </c>
      <c r="L26" s="119">
        <f aca="true" t="shared" si="5" ref="L26:P28">C26*$O$2</f>
        <v>55393.484</v>
      </c>
      <c r="M26" s="119">
        <f t="shared" si="5"/>
        <v>62851.246</v>
      </c>
      <c r="N26" s="48">
        <f t="shared" si="5"/>
        <v>59401.742</v>
      </c>
      <c r="O26" s="48">
        <f t="shared" si="5"/>
        <v>62851.246</v>
      </c>
      <c r="P26" s="48">
        <f t="shared" si="5"/>
        <v>65911.33799999999</v>
      </c>
    </row>
    <row r="27" spans="2:16" ht="12.75">
      <c r="B27" s="8" t="s">
        <v>8</v>
      </c>
      <c r="C27" s="45">
        <v>7500</v>
      </c>
      <c r="D27" s="45">
        <v>8504.3</v>
      </c>
      <c r="E27" s="46">
        <v>8046.4</v>
      </c>
      <c r="F27" s="48">
        <f>D27</f>
        <v>8504.3</v>
      </c>
      <c r="G27" s="46">
        <v>8920.5</v>
      </c>
      <c r="H27" s="46"/>
      <c r="I27" s="107"/>
      <c r="J27" s="41"/>
      <c r="K27" s="8" t="s">
        <v>8</v>
      </c>
      <c r="L27" s="119">
        <f t="shared" si="5"/>
        <v>55950</v>
      </c>
      <c r="M27" s="119">
        <f t="shared" si="5"/>
        <v>63442.077999999994</v>
      </c>
      <c r="N27" s="48">
        <f t="shared" si="5"/>
        <v>60026.144</v>
      </c>
      <c r="O27" s="48">
        <f t="shared" si="5"/>
        <v>63442.077999999994</v>
      </c>
      <c r="P27" s="48">
        <f t="shared" si="5"/>
        <v>66546.93</v>
      </c>
    </row>
    <row r="28" spans="2:16" ht="12.75">
      <c r="B28" s="3" t="s">
        <v>27</v>
      </c>
      <c r="C28" s="45">
        <v>3768.7</v>
      </c>
      <c r="D28" s="45">
        <v>5710</v>
      </c>
      <c r="E28" s="46">
        <v>5286.5</v>
      </c>
      <c r="F28" s="47">
        <f>D28</f>
        <v>5710</v>
      </c>
      <c r="G28" s="46">
        <v>6259</v>
      </c>
      <c r="H28" s="46"/>
      <c r="I28" s="107"/>
      <c r="J28" s="41"/>
      <c r="K28" s="3" t="s">
        <v>27</v>
      </c>
      <c r="L28" s="119">
        <f t="shared" si="5"/>
        <v>28114.501999999997</v>
      </c>
      <c r="M28" s="119">
        <f t="shared" si="5"/>
        <v>42596.6</v>
      </c>
      <c r="N28" s="48">
        <f t="shared" si="5"/>
        <v>39437.29</v>
      </c>
      <c r="O28" s="48">
        <f t="shared" si="5"/>
        <v>42596.6</v>
      </c>
      <c r="P28" s="48">
        <f t="shared" si="5"/>
        <v>46692.14</v>
      </c>
    </row>
    <row r="29" spans="2:16" ht="12.75">
      <c r="B29" s="2" t="s">
        <v>34</v>
      </c>
      <c r="C29" s="42"/>
      <c r="D29" s="42"/>
      <c r="E29" s="43"/>
      <c r="F29" s="47"/>
      <c r="G29" s="43"/>
      <c r="H29" s="43"/>
      <c r="I29" s="106"/>
      <c r="J29" s="41"/>
      <c r="K29" s="2" t="s">
        <v>34</v>
      </c>
      <c r="L29" s="42"/>
      <c r="M29" s="42"/>
      <c r="N29" s="43"/>
      <c r="O29" s="47"/>
      <c r="P29" s="43"/>
    </row>
    <row r="30" spans="1:254" s="14" customFormat="1" ht="12.75">
      <c r="A30" s="13"/>
      <c r="B30" s="11" t="s">
        <v>16</v>
      </c>
      <c r="C30" s="49"/>
      <c r="D30" s="49"/>
      <c r="E30" s="50"/>
      <c r="F30" s="51"/>
      <c r="G30" s="50"/>
      <c r="H30" s="46"/>
      <c r="I30" s="107"/>
      <c r="J30" s="60"/>
      <c r="K30" s="11" t="s">
        <v>16</v>
      </c>
      <c r="L30" s="49"/>
      <c r="M30" s="49"/>
      <c r="N30" s="50"/>
      <c r="O30" s="51"/>
      <c r="P30" s="50"/>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row>
    <row r="31" spans="3:16" ht="12.75">
      <c r="C31" s="41"/>
      <c r="D31" s="41"/>
      <c r="E31" s="41"/>
      <c r="F31" s="41"/>
      <c r="G31" s="41"/>
      <c r="H31" s="41"/>
      <c r="I31" s="105"/>
      <c r="J31" s="41"/>
      <c r="L31" s="41"/>
      <c r="M31" s="41"/>
      <c r="N31" s="41"/>
      <c r="O31" s="41"/>
      <c r="P31" s="41"/>
    </row>
    <row r="32" spans="3:16" ht="12.75">
      <c r="C32" s="41"/>
      <c r="D32" s="41"/>
      <c r="E32" s="41"/>
      <c r="F32" s="41"/>
      <c r="G32" s="41"/>
      <c r="H32" s="41"/>
      <c r="I32" s="105"/>
      <c r="J32" s="41"/>
      <c r="L32" s="41"/>
      <c r="M32" s="41"/>
      <c r="N32" s="41"/>
      <c r="O32" s="41"/>
      <c r="P32" s="41"/>
    </row>
    <row r="33" spans="2:16" ht="14.25">
      <c r="B33" s="5"/>
      <c r="C33" s="5">
        <v>2004</v>
      </c>
      <c r="D33" s="5">
        <v>2005</v>
      </c>
      <c r="E33" s="6" t="s">
        <v>24</v>
      </c>
      <c r="F33" s="6" t="s">
        <v>23</v>
      </c>
      <c r="G33" s="6" t="s">
        <v>22</v>
      </c>
      <c r="H33" s="94"/>
      <c r="I33" s="97"/>
      <c r="J33" s="41"/>
      <c r="K33" s="5"/>
      <c r="L33" s="5">
        <v>2004</v>
      </c>
      <c r="M33" s="5">
        <v>2005</v>
      </c>
      <c r="N33" s="6" t="s">
        <v>24</v>
      </c>
      <c r="O33" s="6" t="s">
        <v>23</v>
      </c>
      <c r="P33" s="6" t="s">
        <v>22</v>
      </c>
    </row>
    <row r="34" spans="1:254" s="14" customFormat="1" ht="25.5">
      <c r="A34" s="13"/>
      <c r="B34" s="17" t="s">
        <v>26</v>
      </c>
      <c r="C34" s="63"/>
      <c r="D34" s="63"/>
      <c r="E34" s="60"/>
      <c r="F34" s="64"/>
      <c r="G34" s="60"/>
      <c r="H34" s="60"/>
      <c r="I34" s="114"/>
      <c r="J34" s="60"/>
      <c r="K34" s="17" t="s">
        <v>26</v>
      </c>
      <c r="L34" s="63"/>
      <c r="M34" s="63"/>
      <c r="N34" s="60"/>
      <c r="O34" s="64"/>
      <c r="P34" s="60"/>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row>
    <row r="35" spans="2:16" ht="12.75">
      <c r="B35" s="2" t="s">
        <v>13</v>
      </c>
      <c r="C35" s="52"/>
      <c r="D35" s="52"/>
      <c r="E35" s="41"/>
      <c r="F35" s="41"/>
      <c r="G35" s="41"/>
      <c r="H35" s="41"/>
      <c r="I35" s="105"/>
      <c r="J35" s="41"/>
      <c r="K35" s="2" t="s">
        <v>13</v>
      </c>
      <c r="L35" s="52"/>
      <c r="M35" s="52"/>
      <c r="N35" s="41"/>
      <c r="O35" s="41"/>
      <c r="P35" s="41"/>
    </row>
    <row r="36" spans="2:16" ht="12.75">
      <c r="B36" s="2" t="s">
        <v>18</v>
      </c>
      <c r="C36" s="52"/>
      <c r="D36" s="52"/>
      <c r="E36" s="41"/>
      <c r="F36" s="41"/>
      <c r="G36" s="41"/>
      <c r="H36" s="41"/>
      <c r="I36" s="105"/>
      <c r="J36" s="41"/>
      <c r="K36" s="2" t="s">
        <v>18</v>
      </c>
      <c r="L36" s="52"/>
      <c r="M36" s="52"/>
      <c r="N36" s="41"/>
      <c r="O36" s="41"/>
      <c r="P36" s="41"/>
    </row>
    <row r="37" spans="2:16" ht="12.75">
      <c r="B37" s="2" t="s">
        <v>20</v>
      </c>
      <c r="C37" s="52">
        <f>-C15/C12</f>
        <v>0.4759050587389115</v>
      </c>
      <c r="D37" s="52">
        <f>-D15/D12</f>
        <v>0.4356257855988508</v>
      </c>
      <c r="E37" s="53">
        <f>-E15/E12</f>
        <v>0.43578322197475877</v>
      </c>
      <c r="F37" s="53">
        <f>-F15/F12</f>
        <v>0.4354782608695652</v>
      </c>
      <c r="G37" s="53">
        <f>-G15/G12</f>
        <v>0.3984543266185227</v>
      </c>
      <c r="H37" s="53"/>
      <c r="I37" s="108"/>
      <c r="J37" s="41"/>
      <c r="K37" s="2" t="s">
        <v>20</v>
      </c>
      <c r="L37" s="52">
        <f>C37</f>
        <v>0.4759050587389115</v>
      </c>
      <c r="M37" s="52">
        <f>D37</f>
        <v>0.4356257855988508</v>
      </c>
      <c r="N37" s="53">
        <f>E37</f>
        <v>0.43578322197475877</v>
      </c>
      <c r="O37" s="53">
        <f>F37</f>
        <v>0.4354782608695652</v>
      </c>
      <c r="P37" s="53">
        <f>G37</f>
        <v>0.3984543266185227</v>
      </c>
    </row>
    <row r="38" spans="2:16" ht="12.75">
      <c r="B38" s="3" t="s">
        <v>19</v>
      </c>
      <c r="C38" s="65"/>
      <c r="D38" s="65"/>
      <c r="E38" s="66"/>
      <c r="F38" s="66"/>
      <c r="G38" s="66"/>
      <c r="H38" s="66"/>
      <c r="I38" s="115"/>
      <c r="J38" s="41"/>
      <c r="K38" s="3" t="s">
        <v>19</v>
      </c>
      <c r="L38" s="65"/>
      <c r="M38" s="65"/>
      <c r="N38" s="66"/>
      <c r="O38" s="66"/>
      <c r="P38" s="66"/>
    </row>
    <row r="39" spans="3:16" ht="12.75">
      <c r="C39" s="41"/>
      <c r="D39" s="41"/>
      <c r="E39" s="41"/>
      <c r="F39" s="41"/>
      <c r="G39" s="41"/>
      <c r="H39" s="41"/>
      <c r="I39" s="105"/>
      <c r="J39" s="41"/>
      <c r="L39" s="41"/>
      <c r="M39" s="41"/>
      <c r="N39" s="41"/>
      <c r="O39" s="41"/>
      <c r="P39" s="41"/>
    </row>
    <row r="40" ht="12.75">
      <c r="K40" s="41"/>
    </row>
  </sheetData>
  <sheetProtection/>
  <printOptions/>
  <pageMargins left="0.75" right="0.75" top="1" bottom="1" header="0" footer="0"/>
  <pageSetup horizontalDpi="600" verticalDpi="600" orientation="portrait" paperSize="9" r:id="rId2"/>
  <ignoredErrors>
    <ignoredError sqref="G18 J12 G13:G14 G16 C13:C18 E12:F12 D13:D16 D18 C12:D12 J13:J18 E13:E18 F13:F15 F17:F18 L7:P18" unlockedFormula="1"/>
    <ignoredError sqref="F16" formula="1" unlockedFormula="1"/>
  </ignoredErrors>
  <legacyDrawing r:id="rId1"/>
</worksheet>
</file>

<file path=xl/worksheets/sheet6.xml><?xml version="1.0" encoding="utf-8"?>
<worksheet xmlns="http://schemas.openxmlformats.org/spreadsheetml/2006/main" xmlns:r="http://schemas.openxmlformats.org/officeDocument/2006/relationships">
  <sheetPr codeName="Sheet10"/>
  <dimension ref="B2:Q38"/>
  <sheetViews>
    <sheetView zoomScalePageLayoutView="0" workbookViewId="0" topLeftCell="A1">
      <selection activeCell="A1" sqref="A1"/>
    </sheetView>
  </sheetViews>
  <sheetFormatPr defaultColWidth="9.00390625" defaultRowHeight="12.75"/>
  <cols>
    <col min="1" max="1" width="9.00390625" style="1" customWidth="1"/>
    <col min="2" max="2" width="42.25390625" style="1" bestFit="1" customWidth="1"/>
    <col min="3" max="8" width="10.25390625" style="1" customWidth="1"/>
    <col min="9" max="9" width="1.12109375" style="96" customWidth="1"/>
    <col min="10" max="10" width="9.00390625" style="1" customWidth="1"/>
    <col min="11" max="11" width="42.25390625" style="1" bestFit="1" customWidth="1"/>
    <col min="12" max="16" width="10.125" style="1" customWidth="1"/>
    <col min="17" max="16384" width="9.00390625" style="1" customWidth="1"/>
  </cols>
  <sheetData>
    <row r="1" ht="13.5" thickBot="1"/>
    <row r="2" spans="2:15" ht="15.75" thickBot="1">
      <c r="B2" s="16" t="s">
        <v>39</v>
      </c>
      <c r="C2" s="136"/>
      <c r="D2" s="20"/>
      <c r="E2" s="20"/>
      <c r="F2" s="20"/>
      <c r="G2" s="20"/>
      <c r="H2" s="20"/>
      <c r="I2" s="109"/>
      <c r="K2" s="1" t="s">
        <v>47</v>
      </c>
      <c r="O2" s="23">
        <f>Frontpage!J2</f>
        <v>7.46</v>
      </c>
    </row>
    <row r="6" spans="2:16" ht="14.25">
      <c r="B6" s="5" t="s">
        <v>12</v>
      </c>
      <c r="C6" s="5">
        <v>2004</v>
      </c>
      <c r="D6" s="5">
        <v>2005</v>
      </c>
      <c r="E6" s="6" t="s">
        <v>24</v>
      </c>
      <c r="F6" s="6" t="s">
        <v>23</v>
      </c>
      <c r="G6" s="6" t="s">
        <v>22</v>
      </c>
      <c r="H6" s="94"/>
      <c r="I6" s="97"/>
      <c r="K6" s="5" t="s">
        <v>48</v>
      </c>
      <c r="L6" s="5">
        <v>2004</v>
      </c>
      <c r="M6" s="5">
        <v>2005</v>
      </c>
      <c r="N6" s="6" t="s">
        <v>24</v>
      </c>
      <c r="O6" s="6" t="s">
        <v>23</v>
      </c>
      <c r="P6" s="6" t="s">
        <v>22</v>
      </c>
    </row>
    <row r="7" spans="2:16" ht="12.75">
      <c r="B7" s="1" t="s">
        <v>0</v>
      </c>
      <c r="C7" s="24">
        <v>24.9</v>
      </c>
      <c r="D7" s="24">
        <v>36</v>
      </c>
      <c r="E7" s="25">
        <v>16.1</v>
      </c>
      <c r="F7" s="67">
        <f>D7-E7</f>
        <v>19.9</v>
      </c>
      <c r="G7" s="25">
        <v>22.7</v>
      </c>
      <c r="H7" s="25"/>
      <c r="I7" s="98"/>
      <c r="J7" s="2"/>
      <c r="K7" s="1" t="s">
        <v>0</v>
      </c>
      <c r="L7" s="24">
        <f>C7*$O$2</f>
        <v>185.754</v>
      </c>
      <c r="M7" s="24">
        <f>D7*$O$2</f>
        <v>268.56</v>
      </c>
      <c r="N7" s="25">
        <f>E7*$O$2</f>
        <v>120.10600000000001</v>
      </c>
      <c r="O7" s="67">
        <f>F7*$O$2</f>
        <v>148.45399999999998</v>
      </c>
      <c r="P7" s="25">
        <f>G7*$O$2</f>
        <v>169.34199999999998</v>
      </c>
    </row>
    <row r="8" spans="3:16" ht="12.75">
      <c r="C8" s="33"/>
      <c r="D8" s="33"/>
      <c r="E8" s="27"/>
      <c r="F8" s="67"/>
      <c r="G8" s="27"/>
      <c r="H8" s="27"/>
      <c r="I8" s="99"/>
      <c r="J8" s="2"/>
      <c r="L8" s="33"/>
      <c r="M8" s="33"/>
      <c r="N8" s="27"/>
      <c r="O8" s="67"/>
      <c r="P8" s="27"/>
    </row>
    <row r="9" spans="3:16" ht="12.75">
      <c r="C9" s="33"/>
      <c r="D9" s="33"/>
      <c r="E9" s="27"/>
      <c r="F9" s="67"/>
      <c r="G9" s="27"/>
      <c r="H9" s="27"/>
      <c r="I9" s="99"/>
      <c r="J9" s="2"/>
      <c r="L9" s="33"/>
      <c r="M9" s="33"/>
      <c r="N9" s="27"/>
      <c r="O9" s="67"/>
      <c r="P9" s="27"/>
    </row>
    <row r="10" spans="3:17" ht="12.75">
      <c r="C10" s="28"/>
      <c r="D10" s="28"/>
      <c r="E10" s="29"/>
      <c r="F10" s="68"/>
      <c r="G10" s="29"/>
      <c r="H10" s="29"/>
      <c r="I10" s="100"/>
      <c r="J10" s="2"/>
      <c r="L10" s="28"/>
      <c r="M10" s="28"/>
      <c r="N10" s="29"/>
      <c r="O10" s="68"/>
      <c r="P10" s="29"/>
      <c r="Q10" s="29"/>
    </row>
    <row r="11" spans="2:16" ht="12.75">
      <c r="B11" s="1" t="s">
        <v>3</v>
      </c>
      <c r="C11" s="33">
        <f>C12-C7</f>
        <v>13.900000000000006</v>
      </c>
      <c r="D11" s="33">
        <f>D12-D7</f>
        <v>18.799999999999997</v>
      </c>
      <c r="E11" s="27">
        <f>E12-E7</f>
        <v>9.8</v>
      </c>
      <c r="F11" s="69">
        <f>F12-F7</f>
        <v>8.999999999999996</v>
      </c>
      <c r="G11" s="27">
        <f>G12-G7</f>
        <v>12.349999999999998</v>
      </c>
      <c r="H11" s="27"/>
      <c r="I11" s="99"/>
      <c r="J11" s="2"/>
      <c r="K11" s="1" t="s">
        <v>3</v>
      </c>
      <c r="L11" s="33">
        <f aca="true" t="shared" si="0" ref="L11:L18">C11*$O$2</f>
        <v>103.69400000000005</v>
      </c>
      <c r="M11" s="33">
        <f aca="true" t="shared" si="1" ref="M11:M18">D11*$O$2</f>
        <v>140.248</v>
      </c>
      <c r="N11" s="27">
        <f aca="true" t="shared" si="2" ref="N11:N18">E11*$O$2</f>
        <v>73.108</v>
      </c>
      <c r="O11" s="69">
        <f aca="true" t="shared" si="3" ref="O11:O18">F11*$O$2</f>
        <v>67.13999999999997</v>
      </c>
      <c r="P11" s="27">
        <f aca="true" t="shared" si="4" ref="P11:P18">G11*$O$2</f>
        <v>92.13099999999999</v>
      </c>
    </row>
    <row r="12" spans="2:16" ht="12.75">
      <c r="B12" s="9" t="s">
        <v>7</v>
      </c>
      <c r="C12" s="54">
        <f>36.7+2.1</f>
        <v>38.800000000000004</v>
      </c>
      <c r="D12" s="54">
        <f>53.4+1.4</f>
        <v>54.8</v>
      </c>
      <c r="E12" s="55">
        <f>24.8+1.1</f>
        <v>25.900000000000002</v>
      </c>
      <c r="F12" s="67">
        <f>D12-E12</f>
        <v>28.899999999999995</v>
      </c>
      <c r="G12" s="55">
        <f>34.5+0.55</f>
        <v>35.05</v>
      </c>
      <c r="H12" s="32"/>
      <c r="I12" s="102"/>
      <c r="J12" s="2"/>
      <c r="K12" s="9" t="s">
        <v>7</v>
      </c>
      <c r="L12" s="54">
        <f t="shared" si="0"/>
        <v>289.44800000000004</v>
      </c>
      <c r="M12" s="54">
        <f t="shared" si="1"/>
        <v>408.808</v>
      </c>
      <c r="N12" s="55">
        <f t="shared" si="2"/>
        <v>193.21400000000003</v>
      </c>
      <c r="O12" s="67">
        <f t="shared" si="3"/>
        <v>215.59399999999997</v>
      </c>
      <c r="P12" s="55">
        <f t="shared" si="4"/>
        <v>261.47299999999996</v>
      </c>
    </row>
    <row r="13" spans="2:16" ht="12.75">
      <c r="B13" s="18" t="s">
        <v>30</v>
      </c>
      <c r="C13" s="56"/>
      <c r="D13" s="56"/>
      <c r="E13" s="57"/>
      <c r="F13" s="70"/>
      <c r="G13" s="57"/>
      <c r="H13" s="57"/>
      <c r="I13" s="101"/>
      <c r="J13" s="2"/>
      <c r="K13" s="18" t="s">
        <v>30</v>
      </c>
      <c r="L13" s="56"/>
      <c r="M13" s="56"/>
      <c r="N13" s="57"/>
      <c r="O13" s="70"/>
      <c r="P13" s="57"/>
    </row>
    <row r="14" spans="2:16" ht="12.75">
      <c r="B14" s="18" t="s">
        <v>31</v>
      </c>
      <c r="C14" s="56"/>
      <c r="D14" s="56"/>
      <c r="E14" s="57"/>
      <c r="F14" s="70"/>
      <c r="G14" s="57"/>
      <c r="H14" s="57"/>
      <c r="I14" s="101"/>
      <c r="J14" s="2"/>
      <c r="K14" s="18" t="s">
        <v>31</v>
      </c>
      <c r="L14" s="56"/>
      <c r="M14" s="56"/>
      <c r="N14" s="57"/>
      <c r="O14" s="70"/>
      <c r="P14" s="57"/>
    </row>
    <row r="15" spans="2:16" ht="12.75">
      <c r="B15" s="8" t="s">
        <v>9</v>
      </c>
      <c r="C15" s="58">
        <v>-29.7</v>
      </c>
      <c r="D15" s="58">
        <v>-39.2</v>
      </c>
      <c r="E15" s="32">
        <v>-17.9</v>
      </c>
      <c r="F15" s="70">
        <f>D15-E15</f>
        <v>-21.300000000000004</v>
      </c>
      <c r="G15" s="32">
        <v>-23.8</v>
      </c>
      <c r="H15" s="32"/>
      <c r="I15" s="102"/>
      <c r="J15" s="2"/>
      <c r="K15" s="8" t="s">
        <v>9</v>
      </c>
      <c r="L15" s="58">
        <f t="shared" si="0"/>
        <v>-221.56199999999998</v>
      </c>
      <c r="M15" s="58">
        <f t="shared" si="1"/>
        <v>-292.432</v>
      </c>
      <c r="N15" s="32">
        <f t="shared" si="2"/>
        <v>-133.534</v>
      </c>
      <c r="O15" s="70">
        <f t="shared" si="3"/>
        <v>-158.89800000000002</v>
      </c>
      <c r="P15" s="32">
        <f t="shared" si="4"/>
        <v>-177.548</v>
      </c>
    </row>
    <row r="16" spans="2:16" ht="12.75">
      <c r="B16" s="9" t="s">
        <v>10</v>
      </c>
      <c r="C16" s="59">
        <f>C12+C15</f>
        <v>9.100000000000005</v>
      </c>
      <c r="D16" s="59">
        <f>D12+D15</f>
        <v>15.599999999999994</v>
      </c>
      <c r="E16" s="34">
        <f>E12+E15</f>
        <v>8.000000000000004</v>
      </c>
      <c r="F16" s="71">
        <f>+F12+F15</f>
        <v>7.599999999999991</v>
      </c>
      <c r="G16" s="34">
        <f>G12+G15</f>
        <v>11.249999999999996</v>
      </c>
      <c r="H16" s="57"/>
      <c r="I16" s="101"/>
      <c r="J16" s="2"/>
      <c r="K16" s="9" t="s">
        <v>10</v>
      </c>
      <c r="L16" s="59">
        <f t="shared" si="0"/>
        <v>67.88600000000004</v>
      </c>
      <c r="M16" s="59">
        <f t="shared" si="1"/>
        <v>116.37599999999996</v>
      </c>
      <c r="N16" s="34">
        <f t="shared" si="2"/>
        <v>59.68000000000003</v>
      </c>
      <c r="O16" s="71">
        <f t="shared" si="3"/>
        <v>56.695999999999934</v>
      </c>
      <c r="P16" s="34">
        <f t="shared" si="4"/>
        <v>83.92499999999997</v>
      </c>
    </row>
    <row r="17" spans="2:16" ht="12.75">
      <c r="B17" s="8" t="s">
        <v>4</v>
      </c>
      <c r="C17" s="58">
        <v>-2.1</v>
      </c>
      <c r="D17" s="58">
        <v>-1.4</v>
      </c>
      <c r="E17" s="32">
        <v>-1.1</v>
      </c>
      <c r="F17" s="70">
        <f>D17-E17</f>
        <v>-0.2999999999999998</v>
      </c>
      <c r="G17" s="32">
        <v>-0.6</v>
      </c>
      <c r="H17" s="32"/>
      <c r="I17" s="102"/>
      <c r="J17" s="2"/>
      <c r="K17" s="8" t="s">
        <v>4</v>
      </c>
      <c r="L17" s="58">
        <f t="shared" si="0"/>
        <v>-15.666</v>
      </c>
      <c r="M17" s="58">
        <f t="shared" si="1"/>
        <v>-10.443999999999999</v>
      </c>
      <c r="N17" s="32">
        <f t="shared" si="2"/>
        <v>-8.206000000000001</v>
      </c>
      <c r="O17" s="70">
        <f t="shared" si="3"/>
        <v>-2.2379999999999987</v>
      </c>
      <c r="P17" s="32">
        <f t="shared" si="4"/>
        <v>-4.476</v>
      </c>
    </row>
    <row r="18" spans="2:16" ht="12.75">
      <c r="B18" s="12" t="s">
        <v>5</v>
      </c>
      <c r="C18" s="36">
        <f>C16+C17</f>
        <v>7.000000000000005</v>
      </c>
      <c r="D18" s="36">
        <f>D16+D17</f>
        <v>14.199999999999994</v>
      </c>
      <c r="E18" s="37">
        <f>E16+E17</f>
        <v>6.900000000000004</v>
      </c>
      <c r="F18" s="37">
        <f>F16+F17</f>
        <v>7.299999999999991</v>
      </c>
      <c r="G18" s="37">
        <f>G16+G17</f>
        <v>10.649999999999997</v>
      </c>
      <c r="H18" s="57"/>
      <c r="I18" s="101"/>
      <c r="J18" s="2"/>
      <c r="K18" s="12" t="s">
        <v>5</v>
      </c>
      <c r="L18" s="36">
        <f t="shared" si="0"/>
        <v>52.22000000000004</v>
      </c>
      <c r="M18" s="36">
        <f t="shared" si="1"/>
        <v>105.93199999999996</v>
      </c>
      <c r="N18" s="37">
        <f t="shared" si="2"/>
        <v>51.47400000000003</v>
      </c>
      <c r="O18" s="37">
        <f t="shared" si="3"/>
        <v>54.457999999999934</v>
      </c>
      <c r="P18" s="37">
        <f t="shared" si="4"/>
        <v>79.44899999999997</v>
      </c>
    </row>
    <row r="19" spans="3:16" ht="12.75">
      <c r="C19" s="2"/>
      <c r="D19" s="2"/>
      <c r="E19" s="2"/>
      <c r="F19" s="2"/>
      <c r="G19" s="2"/>
      <c r="H19" s="2"/>
      <c r="I19" s="116"/>
      <c r="J19" s="2"/>
      <c r="L19" s="2"/>
      <c r="M19" s="2"/>
      <c r="N19" s="2"/>
      <c r="O19" s="2"/>
      <c r="P19" s="2"/>
    </row>
    <row r="20" spans="3:16" ht="12.75">
      <c r="C20" s="2"/>
      <c r="D20" s="2"/>
      <c r="E20" s="2"/>
      <c r="F20" s="2"/>
      <c r="G20" s="2"/>
      <c r="H20" s="2"/>
      <c r="I20" s="116"/>
      <c r="J20" s="2"/>
      <c r="L20" s="2"/>
      <c r="M20" s="2"/>
      <c r="N20" s="2"/>
      <c r="O20" s="2"/>
      <c r="P20" s="2"/>
    </row>
    <row r="21" spans="3:16" ht="12.75">
      <c r="C21" s="2"/>
      <c r="D21" s="2"/>
      <c r="E21" s="2"/>
      <c r="F21" s="2"/>
      <c r="G21" s="2"/>
      <c r="H21" s="2"/>
      <c r="I21" s="116"/>
      <c r="J21" s="2"/>
      <c r="L21" s="2"/>
      <c r="M21" s="2"/>
      <c r="N21" s="2"/>
      <c r="O21" s="2"/>
      <c r="P21" s="2"/>
    </row>
    <row r="22" spans="3:16" ht="12.75">
      <c r="C22" s="2"/>
      <c r="D22" s="2"/>
      <c r="E22" s="2"/>
      <c r="F22" s="2"/>
      <c r="G22" s="2"/>
      <c r="H22" s="2"/>
      <c r="I22" s="116"/>
      <c r="J22" s="2"/>
      <c r="L22" s="2"/>
      <c r="M22" s="2"/>
      <c r="N22" s="2"/>
      <c r="O22" s="2"/>
      <c r="P22" s="2"/>
    </row>
    <row r="23" spans="3:16" ht="12.75">
      <c r="C23" s="2"/>
      <c r="D23" s="2"/>
      <c r="E23" s="2"/>
      <c r="F23" s="2"/>
      <c r="G23" s="2"/>
      <c r="H23" s="2"/>
      <c r="I23" s="116"/>
      <c r="J23" s="2"/>
      <c r="L23" s="2"/>
      <c r="M23" s="2"/>
      <c r="N23" s="2"/>
      <c r="O23" s="2"/>
      <c r="P23" s="2"/>
    </row>
    <row r="24" spans="2:16" ht="14.25">
      <c r="B24" s="5" t="s">
        <v>12</v>
      </c>
      <c r="C24" s="5">
        <v>2004</v>
      </c>
      <c r="D24" s="5">
        <v>2005</v>
      </c>
      <c r="E24" s="6" t="str">
        <f>E6</f>
        <v>1H-2005</v>
      </c>
      <c r="F24" s="6" t="str">
        <f>F6</f>
        <v>2H-2005</v>
      </c>
      <c r="G24" s="6" t="str">
        <f>G6</f>
        <v>1H-2006</v>
      </c>
      <c r="H24" s="94"/>
      <c r="I24" s="97"/>
      <c r="J24" s="41"/>
      <c r="K24" s="5" t="s">
        <v>48</v>
      </c>
      <c r="L24" s="5">
        <v>2004</v>
      </c>
      <c r="M24" s="5">
        <v>2005</v>
      </c>
      <c r="N24" s="6" t="str">
        <f>N6</f>
        <v>1H-2005</v>
      </c>
      <c r="O24" s="6" t="str">
        <f>O6</f>
        <v>2H-2005</v>
      </c>
      <c r="P24" s="6" t="str">
        <f>P6</f>
        <v>1H-2006</v>
      </c>
    </row>
    <row r="25" spans="2:16" ht="12.75">
      <c r="B25" s="2" t="s">
        <v>15</v>
      </c>
      <c r="C25" s="42"/>
      <c r="D25" s="42"/>
      <c r="E25" s="43"/>
      <c r="F25" s="44"/>
      <c r="G25" s="43"/>
      <c r="H25" s="43"/>
      <c r="I25" s="106"/>
      <c r="J25" s="41"/>
      <c r="K25" s="2" t="s">
        <v>15</v>
      </c>
      <c r="L25" s="42"/>
      <c r="M25" s="42"/>
      <c r="N25" s="43"/>
      <c r="O25" s="44"/>
      <c r="P25" s="43"/>
    </row>
    <row r="26" spans="2:16" ht="12.75">
      <c r="B26" s="3" t="s">
        <v>33</v>
      </c>
      <c r="C26" s="45">
        <v>995</v>
      </c>
      <c r="D26" s="45">
        <v>1673.8</v>
      </c>
      <c r="E26" s="46">
        <v>1161.2</v>
      </c>
      <c r="F26" s="47">
        <f>D26</f>
        <v>1673.8</v>
      </c>
      <c r="G26" s="46">
        <v>2134.9</v>
      </c>
      <c r="H26" s="46"/>
      <c r="I26" s="107"/>
      <c r="J26" s="41"/>
      <c r="K26" s="3" t="s">
        <v>33</v>
      </c>
      <c r="L26" s="45">
        <f aca="true" t="shared" si="5" ref="L26:P28">C26*$O$2</f>
        <v>7422.7</v>
      </c>
      <c r="M26" s="45">
        <f t="shared" si="5"/>
        <v>12486.547999999999</v>
      </c>
      <c r="N26" s="46">
        <f t="shared" si="5"/>
        <v>8662.552</v>
      </c>
      <c r="O26" s="47">
        <f t="shared" si="5"/>
        <v>12486.547999999999</v>
      </c>
      <c r="P26" s="46">
        <f t="shared" si="5"/>
        <v>15926.354000000001</v>
      </c>
    </row>
    <row r="27" spans="2:16" ht="12.75">
      <c r="B27" s="8" t="s">
        <v>8</v>
      </c>
      <c r="C27" s="45">
        <v>1183.3</v>
      </c>
      <c r="D27" s="45">
        <v>1917.5</v>
      </c>
      <c r="E27" s="46">
        <v>1476.2</v>
      </c>
      <c r="F27" s="48">
        <f>D27</f>
        <v>1917.5</v>
      </c>
      <c r="G27" s="46">
        <v>2401.2</v>
      </c>
      <c r="H27" s="46"/>
      <c r="I27" s="107"/>
      <c r="J27" s="41"/>
      <c r="K27" s="8" t="s">
        <v>8</v>
      </c>
      <c r="L27" s="45">
        <f t="shared" si="5"/>
        <v>8827.418</v>
      </c>
      <c r="M27" s="45">
        <f t="shared" si="5"/>
        <v>14304.55</v>
      </c>
      <c r="N27" s="46">
        <f t="shared" si="5"/>
        <v>11012.452000000001</v>
      </c>
      <c r="O27" s="48">
        <f t="shared" si="5"/>
        <v>14304.55</v>
      </c>
      <c r="P27" s="46">
        <f t="shared" si="5"/>
        <v>17912.951999999997</v>
      </c>
    </row>
    <row r="28" spans="2:16" ht="12.75">
      <c r="B28" s="3" t="s">
        <v>27</v>
      </c>
      <c r="C28" s="45">
        <v>1022.1</v>
      </c>
      <c r="D28" s="45">
        <v>1600.7</v>
      </c>
      <c r="E28" s="46">
        <v>1242.7</v>
      </c>
      <c r="F28" s="47">
        <f>D28</f>
        <v>1600.7</v>
      </c>
      <c r="G28" s="46">
        <v>2014.7</v>
      </c>
      <c r="H28" s="46"/>
      <c r="I28" s="107"/>
      <c r="J28" s="41"/>
      <c r="K28" s="3" t="s">
        <v>27</v>
      </c>
      <c r="L28" s="45">
        <f t="shared" si="5"/>
        <v>7624.866</v>
      </c>
      <c r="M28" s="45">
        <f t="shared" si="5"/>
        <v>11941.222</v>
      </c>
      <c r="N28" s="46">
        <f t="shared" si="5"/>
        <v>9270.542</v>
      </c>
      <c r="O28" s="47">
        <f t="shared" si="5"/>
        <v>11941.222</v>
      </c>
      <c r="P28" s="46">
        <f t="shared" si="5"/>
        <v>15029.662</v>
      </c>
    </row>
    <row r="29" spans="2:16" ht="12.75">
      <c r="B29" s="2" t="s">
        <v>34</v>
      </c>
      <c r="C29" s="42"/>
      <c r="D29" s="42"/>
      <c r="E29" s="43"/>
      <c r="F29" s="47"/>
      <c r="G29" s="43"/>
      <c r="H29" s="43"/>
      <c r="I29" s="106"/>
      <c r="J29" s="41"/>
      <c r="K29" s="2" t="s">
        <v>34</v>
      </c>
      <c r="L29" s="42"/>
      <c r="M29" s="42"/>
      <c r="N29" s="43"/>
      <c r="O29" s="47"/>
      <c r="P29" s="43"/>
    </row>
    <row r="30" spans="2:16" ht="12.75">
      <c r="B30" s="11" t="s">
        <v>16</v>
      </c>
      <c r="C30" s="49"/>
      <c r="D30" s="49"/>
      <c r="E30" s="50"/>
      <c r="F30" s="51"/>
      <c r="G30" s="50"/>
      <c r="H30" s="46"/>
      <c r="I30" s="107"/>
      <c r="J30" s="41"/>
      <c r="K30" s="11" t="s">
        <v>16</v>
      </c>
      <c r="L30" s="49"/>
      <c r="M30" s="49"/>
      <c r="N30" s="50"/>
      <c r="O30" s="51"/>
      <c r="P30" s="50"/>
    </row>
    <row r="31" spans="3:16" ht="12.75">
      <c r="C31" s="41"/>
      <c r="D31" s="41"/>
      <c r="E31" s="41"/>
      <c r="F31" s="41"/>
      <c r="G31" s="41"/>
      <c r="H31" s="41"/>
      <c r="I31" s="105"/>
      <c r="J31" s="41"/>
      <c r="L31" s="41"/>
      <c r="M31" s="41"/>
      <c r="N31" s="41"/>
      <c r="O31" s="41"/>
      <c r="P31" s="41"/>
    </row>
    <row r="32" spans="3:16" ht="12.75">
      <c r="C32" s="41"/>
      <c r="D32" s="41"/>
      <c r="E32" s="41"/>
      <c r="F32" s="41"/>
      <c r="G32" s="41"/>
      <c r="H32" s="41"/>
      <c r="I32" s="105"/>
      <c r="J32" s="41"/>
      <c r="L32" s="41"/>
      <c r="M32" s="41"/>
      <c r="N32" s="41"/>
      <c r="O32" s="41"/>
      <c r="P32" s="41"/>
    </row>
    <row r="33" spans="2:16" ht="14.25">
      <c r="B33" s="5"/>
      <c r="C33" s="5">
        <v>2004</v>
      </c>
      <c r="D33" s="5">
        <v>2005</v>
      </c>
      <c r="E33" s="6" t="str">
        <f>E6</f>
        <v>1H-2005</v>
      </c>
      <c r="F33" s="6" t="str">
        <f>F6</f>
        <v>2H-2005</v>
      </c>
      <c r="G33" s="6" t="str">
        <f>G6</f>
        <v>1H-2006</v>
      </c>
      <c r="H33" s="94"/>
      <c r="I33" s="97"/>
      <c r="J33" s="41"/>
      <c r="K33" s="5"/>
      <c r="L33" s="5">
        <v>2004</v>
      </c>
      <c r="M33" s="5">
        <v>2005</v>
      </c>
      <c r="N33" s="6" t="str">
        <f>N6</f>
        <v>1H-2005</v>
      </c>
      <c r="O33" s="6" t="str">
        <f>O6</f>
        <v>2H-2005</v>
      </c>
      <c r="P33" s="6" t="str">
        <f>P6</f>
        <v>1H-2006</v>
      </c>
    </row>
    <row r="34" spans="2:16" ht="25.5">
      <c r="B34" s="10" t="s">
        <v>21</v>
      </c>
      <c r="C34" s="63"/>
      <c r="D34" s="63"/>
      <c r="E34" s="60"/>
      <c r="F34" s="64"/>
      <c r="G34" s="60"/>
      <c r="H34" s="60"/>
      <c r="I34" s="114"/>
      <c r="J34" s="41"/>
      <c r="K34" s="10" t="s">
        <v>21</v>
      </c>
      <c r="L34" s="63"/>
      <c r="M34" s="63"/>
      <c r="N34" s="60"/>
      <c r="O34" s="64"/>
      <c r="P34" s="60"/>
    </row>
    <row r="35" spans="2:16" ht="12.75">
      <c r="B35" s="2" t="s">
        <v>13</v>
      </c>
      <c r="C35" s="52"/>
      <c r="D35" s="52"/>
      <c r="E35" s="41"/>
      <c r="F35" s="41"/>
      <c r="G35" s="41"/>
      <c r="H35" s="41"/>
      <c r="I35" s="105"/>
      <c r="J35" s="41"/>
      <c r="K35" s="2" t="s">
        <v>13</v>
      </c>
      <c r="L35" s="52"/>
      <c r="M35" s="52"/>
      <c r="N35" s="41"/>
      <c r="O35" s="41"/>
      <c r="P35" s="41"/>
    </row>
    <row r="36" spans="2:16" ht="12.75">
      <c r="B36" s="2" t="s">
        <v>18</v>
      </c>
      <c r="C36" s="52"/>
      <c r="D36" s="52"/>
      <c r="E36" s="41"/>
      <c r="F36" s="41"/>
      <c r="G36" s="41"/>
      <c r="H36" s="41"/>
      <c r="I36" s="105"/>
      <c r="J36" s="41"/>
      <c r="K36" s="2" t="s">
        <v>18</v>
      </c>
      <c r="L36" s="52"/>
      <c r="M36" s="52"/>
      <c r="N36" s="41"/>
      <c r="O36" s="41"/>
      <c r="P36" s="41"/>
    </row>
    <row r="37" spans="2:16" ht="12.75">
      <c r="B37" s="2" t="s">
        <v>20</v>
      </c>
      <c r="C37" s="52">
        <f>-C15/C12</f>
        <v>0.7654639175257731</v>
      </c>
      <c r="D37" s="52">
        <f>-D15/D12</f>
        <v>0.7153284671532848</v>
      </c>
      <c r="E37" s="53">
        <f>-E15/E12</f>
        <v>0.691119691119691</v>
      </c>
      <c r="F37" s="53">
        <f>-F15/F12</f>
        <v>0.7370242214532875</v>
      </c>
      <c r="G37" s="53">
        <f>-G15/G12</f>
        <v>0.6790299572039944</v>
      </c>
      <c r="H37" s="53"/>
      <c r="I37" s="108"/>
      <c r="J37" s="41"/>
      <c r="K37" s="2" t="s">
        <v>20</v>
      </c>
      <c r="L37" s="52">
        <f>C37</f>
        <v>0.7654639175257731</v>
      </c>
      <c r="M37" s="52">
        <f>D37</f>
        <v>0.7153284671532848</v>
      </c>
      <c r="N37" s="53">
        <f>E37</f>
        <v>0.691119691119691</v>
      </c>
      <c r="O37" s="53">
        <f>F37</f>
        <v>0.7370242214532875</v>
      </c>
      <c r="P37" s="53">
        <f>G37</f>
        <v>0.6790299572039944</v>
      </c>
    </row>
    <row r="38" spans="2:16" ht="12.75">
      <c r="B38" s="3" t="s">
        <v>19</v>
      </c>
      <c r="C38" s="65"/>
      <c r="D38" s="65"/>
      <c r="E38" s="66"/>
      <c r="F38" s="66"/>
      <c r="G38" s="66"/>
      <c r="H38" s="66"/>
      <c r="I38" s="115"/>
      <c r="J38" s="41"/>
      <c r="K38" s="3" t="s">
        <v>19</v>
      </c>
      <c r="L38" s="65"/>
      <c r="M38" s="65"/>
      <c r="N38" s="66"/>
      <c r="O38" s="66"/>
      <c r="P38" s="66"/>
    </row>
  </sheetData>
  <sheetProtection/>
  <printOptions/>
  <pageMargins left="0.75" right="0.75" top="1" bottom="1" header="0" footer="0"/>
  <pageSetup horizontalDpi="600" verticalDpi="600" orientation="portrait" paperSize="9" r:id="rId2"/>
  <ignoredErrors>
    <ignoredError sqref="G12:G18 J12:J18 C12:E18 F12:F15 F17:F18 F19 C19:E19 J19 G19 L7:P18 L26:P28" unlockedFormula="1"/>
    <ignoredError sqref="F16" formula="1" unlockedFormula="1"/>
  </ignoredErrors>
  <legacyDrawing r:id="rId1"/>
</worksheet>
</file>

<file path=xl/worksheets/sheet7.xml><?xml version="1.0" encoding="utf-8"?>
<worksheet xmlns="http://schemas.openxmlformats.org/spreadsheetml/2006/main" xmlns:r="http://schemas.openxmlformats.org/officeDocument/2006/relationships">
  <sheetPr codeName="Sheet11"/>
  <dimension ref="B2:Q38"/>
  <sheetViews>
    <sheetView zoomScalePageLayoutView="0" workbookViewId="0" topLeftCell="A1">
      <selection activeCell="A1" sqref="A1"/>
    </sheetView>
  </sheetViews>
  <sheetFormatPr defaultColWidth="9.00390625" defaultRowHeight="12.75"/>
  <cols>
    <col min="1" max="1" width="9.00390625" style="1" customWidth="1"/>
    <col min="2" max="2" width="42.25390625" style="1" bestFit="1" customWidth="1"/>
    <col min="3" max="8" width="10.25390625" style="1" customWidth="1"/>
    <col min="9" max="9" width="1.12109375" style="96" customWidth="1"/>
    <col min="10" max="10" width="9.00390625" style="1" customWidth="1"/>
    <col min="11" max="11" width="42.25390625" style="1" bestFit="1" customWidth="1"/>
    <col min="12" max="16" width="10.125" style="1" customWidth="1"/>
    <col min="17" max="16384" width="9.00390625" style="1" customWidth="1"/>
  </cols>
  <sheetData>
    <row r="1" ht="13.5" thickBot="1"/>
    <row r="2" spans="2:15" ht="15.75" thickBot="1">
      <c r="B2" s="16" t="s">
        <v>40</v>
      </c>
      <c r="C2" s="136"/>
      <c r="D2" s="20"/>
      <c r="E2" s="20"/>
      <c r="F2" s="20"/>
      <c r="G2" s="20"/>
      <c r="H2" s="20"/>
      <c r="I2" s="109"/>
      <c r="K2" s="1" t="s">
        <v>47</v>
      </c>
      <c r="O2" s="23">
        <f>Frontpage!J2</f>
        <v>7.46</v>
      </c>
    </row>
    <row r="6" spans="2:16" ht="14.25">
      <c r="B6" s="5" t="s">
        <v>12</v>
      </c>
      <c r="C6" s="5">
        <v>2004</v>
      </c>
      <c r="D6" s="5">
        <v>2005</v>
      </c>
      <c r="E6" s="6" t="s">
        <v>24</v>
      </c>
      <c r="F6" s="6" t="s">
        <v>23</v>
      </c>
      <c r="G6" s="6" t="s">
        <v>22</v>
      </c>
      <c r="H6" s="94"/>
      <c r="I6" s="97"/>
      <c r="K6" s="5" t="s">
        <v>48</v>
      </c>
      <c r="L6" s="5">
        <v>2004</v>
      </c>
      <c r="M6" s="5">
        <v>2005</v>
      </c>
      <c r="N6" s="6" t="s">
        <v>24</v>
      </c>
      <c r="O6" s="6" t="s">
        <v>23</v>
      </c>
      <c r="P6" s="6" t="s">
        <v>22</v>
      </c>
    </row>
    <row r="7" spans="2:16" ht="12.75">
      <c r="B7" s="1" t="s">
        <v>0</v>
      </c>
      <c r="C7" s="24"/>
      <c r="D7" s="24"/>
      <c r="E7" s="25"/>
      <c r="F7" s="67"/>
      <c r="G7" s="25">
        <v>0.3</v>
      </c>
      <c r="H7" s="25"/>
      <c r="I7" s="98"/>
      <c r="J7" s="2"/>
      <c r="K7" s="1" t="s">
        <v>0</v>
      </c>
      <c r="L7" s="24"/>
      <c r="M7" s="24"/>
      <c r="N7" s="25"/>
      <c r="O7" s="67"/>
      <c r="P7" s="25">
        <f>G7*$O$2</f>
        <v>2.238</v>
      </c>
    </row>
    <row r="8" spans="3:16" ht="12.75">
      <c r="C8" s="33"/>
      <c r="D8" s="33"/>
      <c r="E8" s="27"/>
      <c r="F8" s="67"/>
      <c r="G8" s="27"/>
      <c r="H8" s="27"/>
      <c r="I8" s="99"/>
      <c r="J8" s="2"/>
      <c r="L8" s="33"/>
      <c r="M8" s="33"/>
      <c r="N8" s="27"/>
      <c r="O8" s="67"/>
      <c r="P8" s="27"/>
    </row>
    <row r="9" spans="3:16" ht="12.75">
      <c r="C9" s="33"/>
      <c r="D9" s="33"/>
      <c r="E9" s="27"/>
      <c r="F9" s="67"/>
      <c r="G9" s="27"/>
      <c r="H9" s="27"/>
      <c r="I9" s="99"/>
      <c r="J9" s="2"/>
      <c r="L9" s="33"/>
      <c r="M9" s="33"/>
      <c r="N9" s="27"/>
      <c r="O9" s="67"/>
      <c r="P9" s="27"/>
    </row>
    <row r="10" spans="3:17" ht="12.75">
      <c r="C10" s="28"/>
      <c r="D10" s="28"/>
      <c r="E10" s="29"/>
      <c r="F10" s="68"/>
      <c r="G10" s="29"/>
      <c r="H10" s="29"/>
      <c r="I10" s="100"/>
      <c r="J10" s="2"/>
      <c r="L10" s="28"/>
      <c r="M10" s="28"/>
      <c r="N10" s="29"/>
      <c r="O10" s="68"/>
      <c r="P10" s="29"/>
      <c r="Q10" s="29"/>
    </row>
    <row r="11" spans="2:16" ht="12.75">
      <c r="B11" s="1" t="s">
        <v>3</v>
      </c>
      <c r="C11" s="33"/>
      <c r="D11" s="33"/>
      <c r="E11" s="69"/>
      <c r="F11" s="69"/>
      <c r="G11" s="31">
        <f>G12-G7</f>
        <v>27.55</v>
      </c>
      <c r="H11" s="57"/>
      <c r="I11" s="101"/>
      <c r="J11" s="2"/>
      <c r="K11" s="1" t="s">
        <v>3</v>
      </c>
      <c r="L11" s="33"/>
      <c r="M11" s="33"/>
      <c r="N11" s="69"/>
      <c r="O11" s="69"/>
      <c r="P11" s="31">
        <f>G11*$O$2</f>
        <v>205.523</v>
      </c>
    </row>
    <row r="12" spans="2:16" ht="12.75">
      <c r="B12" s="9" t="s">
        <v>7</v>
      </c>
      <c r="C12" s="72"/>
      <c r="D12" s="72"/>
      <c r="E12" s="55"/>
      <c r="F12" s="73"/>
      <c r="G12" s="55">
        <v>27.85</v>
      </c>
      <c r="H12" s="32"/>
      <c r="I12" s="102"/>
      <c r="J12" s="2"/>
      <c r="K12" s="9" t="s">
        <v>7</v>
      </c>
      <c r="L12" s="72"/>
      <c r="M12" s="72"/>
      <c r="N12" s="55"/>
      <c r="O12" s="73"/>
      <c r="P12" s="55">
        <f>G12*$O$2</f>
        <v>207.761</v>
      </c>
    </row>
    <row r="13" spans="2:16" ht="12.75">
      <c r="B13" s="18" t="s">
        <v>30</v>
      </c>
      <c r="C13" s="56"/>
      <c r="D13" s="56"/>
      <c r="E13" s="57"/>
      <c r="F13" s="70"/>
      <c r="G13" s="57"/>
      <c r="H13" s="57"/>
      <c r="I13" s="101"/>
      <c r="J13" s="2"/>
      <c r="K13" s="18" t="s">
        <v>30</v>
      </c>
      <c r="L13" s="56"/>
      <c r="M13" s="56"/>
      <c r="N13" s="57"/>
      <c r="O13" s="70"/>
      <c r="P13" s="57"/>
    </row>
    <row r="14" spans="2:16" ht="12.75">
      <c r="B14" s="18" t="s">
        <v>31</v>
      </c>
      <c r="C14" s="56"/>
      <c r="D14" s="56"/>
      <c r="E14" s="57"/>
      <c r="F14" s="70"/>
      <c r="G14" s="57"/>
      <c r="H14" s="57"/>
      <c r="I14" s="101"/>
      <c r="J14" s="2"/>
      <c r="K14" s="18" t="s">
        <v>31</v>
      </c>
      <c r="L14" s="56"/>
      <c r="M14" s="56"/>
      <c r="N14" s="57"/>
      <c r="O14" s="70"/>
      <c r="P14" s="57"/>
    </row>
    <row r="15" spans="2:16" ht="12.75">
      <c r="B15" s="8" t="s">
        <v>9</v>
      </c>
      <c r="C15" s="74"/>
      <c r="D15" s="74"/>
      <c r="E15" s="32"/>
      <c r="F15" s="75"/>
      <c r="G15" s="32">
        <v>-10.2</v>
      </c>
      <c r="H15" s="32"/>
      <c r="I15" s="102"/>
      <c r="J15" s="2"/>
      <c r="K15" s="8" t="s">
        <v>9</v>
      </c>
      <c r="L15" s="74"/>
      <c r="M15" s="74"/>
      <c r="N15" s="32"/>
      <c r="O15" s="75"/>
      <c r="P15" s="32">
        <f>G15*$O$2</f>
        <v>-76.092</v>
      </c>
    </row>
    <row r="16" spans="2:16" ht="12.75">
      <c r="B16" s="9" t="s">
        <v>10</v>
      </c>
      <c r="C16" s="59"/>
      <c r="D16" s="59"/>
      <c r="E16" s="34"/>
      <c r="F16" s="71"/>
      <c r="G16" s="34">
        <f>G12+G15</f>
        <v>17.650000000000002</v>
      </c>
      <c r="H16" s="57"/>
      <c r="I16" s="101"/>
      <c r="J16" s="2"/>
      <c r="K16" s="9" t="s">
        <v>10</v>
      </c>
      <c r="L16" s="59"/>
      <c r="M16" s="59"/>
      <c r="N16" s="34"/>
      <c r="O16" s="71"/>
      <c r="P16" s="34">
        <f>G16*$O$2</f>
        <v>131.669</v>
      </c>
    </row>
    <row r="17" spans="2:16" ht="12.75">
      <c r="B17" s="8" t="s">
        <v>4</v>
      </c>
      <c r="C17" s="58"/>
      <c r="D17" s="58"/>
      <c r="E17" s="32"/>
      <c r="F17" s="32"/>
      <c r="G17" s="32">
        <v>0</v>
      </c>
      <c r="H17" s="32"/>
      <c r="I17" s="102"/>
      <c r="J17" s="2"/>
      <c r="K17" s="8" t="s">
        <v>4</v>
      </c>
      <c r="L17" s="58"/>
      <c r="M17" s="58"/>
      <c r="N17" s="32"/>
      <c r="O17" s="32"/>
      <c r="P17" s="32"/>
    </row>
    <row r="18" spans="2:16" ht="12.75">
      <c r="B18" s="12" t="s">
        <v>5</v>
      </c>
      <c r="C18" s="36"/>
      <c r="D18" s="36"/>
      <c r="E18" s="76"/>
      <c r="F18" s="76"/>
      <c r="G18" s="37">
        <f>G16+G17</f>
        <v>17.650000000000002</v>
      </c>
      <c r="H18" s="57"/>
      <c r="I18" s="101"/>
      <c r="J18" s="2"/>
      <c r="K18" s="12" t="s">
        <v>5</v>
      </c>
      <c r="L18" s="36"/>
      <c r="M18" s="36"/>
      <c r="N18" s="76"/>
      <c r="O18" s="76"/>
      <c r="P18" s="37">
        <f>G18*$O$2</f>
        <v>131.669</v>
      </c>
    </row>
    <row r="19" spans="3:16" ht="12.75">
      <c r="C19" s="2"/>
      <c r="D19" s="2"/>
      <c r="E19" s="2"/>
      <c r="F19" s="2"/>
      <c r="G19" s="2"/>
      <c r="H19" s="2"/>
      <c r="I19" s="116"/>
      <c r="J19" s="2"/>
      <c r="L19" s="2"/>
      <c r="M19" s="2"/>
      <c r="N19" s="2"/>
      <c r="O19" s="2"/>
      <c r="P19" s="2"/>
    </row>
    <row r="20" spans="3:16" ht="12.75">
      <c r="C20" s="2"/>
      <c r="D20" s="2"/>
      <c r="E20" s="2"/>
      <c r="F20" s="2"/>
      <c r="G20" s="2"/>
      <c r="H20" s="2"/>
      <c r="I20" s="116"/>
      <c r="J20" s="2"/>
      <c r="L20" s="2"/>
      <c r="M20" s="2"/>
      <c r="N20" s="2"/>
      <c r="O20" s="2"/>
      <c r="P20" s="2"/>
    </row>
    <row r="21" spans="3:16" ht="12.75">
      <c r="C21" s="2"/>
      <c r="D21" s="2"/>
      <c r="E21" s="2"/>
      <c r="F21" s="2"/>
      <c r="G21" s="2"/>
      <c r="H21" s="2"/>
      <c r="I21" s="116"/>
      <c r="J21" s="2"/>
      <c r="L21" s="2"/>
      <c r="M21" s="2"/>
      <c r="N21" s="2"/>
      <c r="O21" s="2"/>
      <c r="P21" s="2"/>
    </row>
    <row r="22" spans="3:16" ht="12.75">
      <c r="C22" s="2"/>
      <c r="D22" s="2"/>
      <c r="E22" s="2"/>
      <c r="F22" s="2"/>
      <c r="G22" s="2"/>
      <c r="H22" s="2"/>
      <c r="I22" s="116"/>
      <c r="J22" s="2"/>
      <c r="L22" s="2"/>
      <c r="M22" s="2"/>
      <c r="N22" s="2"/>
      <c r="O22" s="2"/>
      <c r="P22" s="2"/>
    </row>
    <row r="23" spans="3:16" ht="12.75">
      <c r="C23" s="2"/>
      <c r="D23" s="2"/>
      <c r="E23" s="2"/>
      <c r="F23" s="2"/>
      <c r="G23" s="2"/>
      <c r="H23" s="2"/>
      <c r="I23" s="116"/>
      <c r="J23" s="2"/>
      <c r="L23" s="2"/>
      <c r="M23" s="2"/>
      <c r="N23" s="2"/>
      <c r="O23" s="2"/>
      <c r="P23" s="2"/>
    </row>
    <row r="24" spans="2:16" ht="14.25">
      <c r="B24" s="5" t="s">
        <v>12</v>
      </c>
      <c r="C24" s="5">
        <v>2004</v>
      </c>
      <c r="D24" s="5">
        <v>2005</v>
      </c>
      <c r="E24" s="6" t="str">
        <f>E6</f>
        <v>1H-2005</v>
      </c>
      <c r="F24" s="6" t="str">
        <f>F6</f>
        <v>2H-2005</v>
      </c>
      <c r="G24" s="6" t="str">
        <f>G6</f>
        <v>1H-2006</v>
      </c>
      <c r="H24" s="94"/>
      <c r="I24" s="97"/>
      <c r="J24" s="41"/>
      <c r="K24" s="5" t="s">
        <v>48</v>
      </c>
      <c r="L24" s="5">
        <v>2004</v>
      </c>
      <c r="M24" s="5">
        <v>2005</v>
      </c>
      <c r="N24" s="6" t="str">
        <f>N6</f>
        <v>1H-2005</v>
      </c>
      <c r="O24" s="6" t="str">
        <f>O6</f>
        <v>2H-2005</v>
      </c>
      <c r="P24" s="6" t="str">
        <f>P6</f>
        <v>1H-2006</v>
      </c>
    </row>
    <row r="25" spans="2:16" ht="12.75">
      <c r="B25" s="2" t="s">
        <v>15</v>
      </c>
      <c r="C25" s="42"/>
      <c r="D25" s="42"/>
      <c r="E25" s="43"/>
      <c r="F25" s="44"/>
      <c r="G25" s="43"/>
      <c r="H25" s="43"/>
      <c r="I25" s="106"/>
      <c r="J25" s="41"/>
      <c r="K25" s="2" t="s">
        <v>15</v>
      </c>
      <c r="L25" s="42"/>
      <c r="M25" s="42"/>
      <c r="N25" s="43"/>
      <c r="O25" s="44"/>
      <c r="P25" s="43"/>
    </row>
    <row r="26" spans="2:16" ht="12.75">
      <c r="B26" s="3" t="s">
        <v>33</v>
      </c>
      <c r="C26" s="45"/>
      <c r="D26" s="45"/>
      <c r="E26" s="46"/>
      <c r="F26" s="47"/>
      <c r="G26" s="46"/>
      <c r="H26" s="46"/>
      <c r="I26" s="107"/>
      <c r="J26" s="41"/>
      <c r="K26" s="3" t="s">
        <v>33</v>
      </c>
      <c r="L26" s="45"/>
      <c r="M26" s="45"/>
      <c r="N26" s="46"/>
      <c r="O26" s="47"/>
      <c r="P26" s="46"/>
    </row>
    <row r="27" spans="2:16" ht="12.75">
      <c r="B27" s="8" t="s">
        <v>8</v>
      </c>
      <c r="C27" s="45"/>
      <c r="D27" s="45"/>
      <c r="E27" s="46"/>
      <c r="F27" s="48"/>
      <c r="G27" s="46">
        <v>47.3</v>
      </c>
      <c r="H27" s="46"/>
      <c r="I27" s="107"/>
      <c r="J27" s="41"/>
      <c r="K27" s="8" t="s">
        <v>8</v>
      </c>
      <c r="L27" s="45"/>
      <c r="M27" s="45"/>
      <c r="N27" s="46"/>
      <c r="O27" s="48"/>
      <c r="P27" s="46">
        <f>G27*$O$2</f>
        <v>352.858</v>
      </c>
    </row>
    <row r="28" spans="2:16" ht="12.75">
      <c r="B28" s="3" t="s">
        <v>27</v>
      </c>
      <c r="C28" s="45"/>
      <c r="D28" s="45"/>
      <c r="E28" s="46"/>
      <c r="F28" s="47"/>
      <c r="G28" s="46"/>
      <c r="H28" s="46"/>
      <c r="I28" s="107"/>
      <c r="J28" s="41"/>
      <c r="K28" s="3" t="s">
        <v>27</v>
      </c>
      <c r="L28" s="45"/>
      <c r="M28" s="45"/>
      <c r="N28" s="46"/>
      <c r="O28" s="47"/>
      <c r="P28" s="46"/>
    </row>
    <row r="29" spans="2:16" ht="12.75">
      <c r="B29" s="2" t="s">
        <v>34</v>
      </c>
      <c r="C29" s="42"/>
      <c r="D29" s="42"/>
      <c r="E29" s="43"/>
      <c r="F29" s="47"/>
      <c r="G29" s="43"/>
      <c r="H29" s="43"/>
      <c r="I29" s="106"/>
      <c r="J29" s="41"/>
      <c r="K29" s="2" t="s">
        <v>34</v>
      </c>
      <c r="L29" s="42"/>
      <c r="M29" s="42"/>
      <c r="N29" s="43"/>
      <c r="O29" s="47"/>
      <c r="P29" s="43"/>
    </row>
    <row r="30" spans="2:16" ht="12.75">
      <c r="B30" s="11" t="s">
        <v>16</v>
      </c>
      <c r="C30" s="49"/>
      <c r="D30" s="49"/>
      <c r="E30" s="50"/>
      <c r="F30" s="51"/>
      <c r="G30" s="50"/>
      <c r="H30" s="46"/>
      <c r="I30" s="107"/>
      <c r="J30" s="41"/>
      <c r="K30" s="11" t="s">
        <v>16</v>
      </c>
      <c r="L30" s="49"/>
      <c r="M30" s="49"/>
      <c r="N30" s="50"/>
      <c r="O30" s="51"/>
      <c r="P30" s="50"/>
    </row>
    <row r="31" spans="3:16" ht="12.75">
      <c r="C31" s="41"/>
      <c r="D31" s="41"/>
      <c r="E31" s="41"/>
      <c r="F31" s="41"/>
      <c r="G31" s="41"/>
      <c r="H31" s="41"/>
      <c r="I31" s="105"/>
      <c r="J31" s="41"/>
      <c r="L31" s="41"/>
      <c r="M31" s="41"/>
      <c r="N31" s="41"/>
      <c r="O31" s="41"/>
      <c r="P31" s="41"/>
    </row>
    <row r="32" spans="3:16" ht="12.75">
      <c r="C32" s="41"/>
      <c r="D32" s="41"/>
      <c r="E32" s="41"/>
      <c r="F32" s="41"/>
      <c r="G32" s="41"/>
      <c r="H32" s="41"/>
      <c r="I32" s="105"/>
      <c r="J32" s="41"/>
      <c r="L32" s="41"/>
      <c r="M32" s="41"/>
      <c r="N32" s="41"/>
      <c r="O32" s="41"/>
      <c r="P32" s="41"/>
    </row>
    <row r="33" spans="2:16" ht="14.25">
      <c r="B33" s="5"/>
      <c r="C33" s="5">
        <v>2004</v>
      </c>
      <c r="D33" s="5">
        <v>2005</v>
      </c>
      <c r="E33" s="6" t="str">
        <f>E6</f>
        <v>1H-2005</v>
      </c>
      <c r="F33" s="6" t="str">
        <f>F6</f>
        <v>2H-2005</v>
      </c>
      <c r="G33" s="6" t="str">
        <f>G6</f>
        <v>1H-2006</v>
      </c>
      <c r="H33" s="94"/>
      <c r="I33" s="97"/>
      <c r="J33" s="41"/>
      <c r="K33" s="5"/>
      <c r="L33" s="5">
        <v>2004</v>
      </c>
      <c r="M33" s="5">
        <v>2005</v>
      </c>
      <c r="N33" s="6" t="str">
        <f>N6</f>
        <v>1H-2005</v>
      </c>
      <c r="O33" s="6" t="str">
        <f>O6</f>
        <v>2H-2005</v>
      </c>
      <c r="P33" s="6" t="str">
        <f>P6</f>
        <v>1H-2006</v>
      </c>
    </row>
    <row r="34" spans="2:16" ht="25.5">
      <c r="B34" s="10" t="s">
        <v>21</v>
      </c>
      <c r="C34" s="63"/>
      <c r="D34" s="63"/>
      <c r="E34" s="60"/>
      <c r="F34" s="64"/>
      <c r="G34" s="60"/>
      <c r="H34" s="60"/>
      <c r="I34" s="114"/>
      <c r="J34" s="41"/>
      <c r="K34" s="10" t="s">
        <v>21</v>
      </c>
      <c r="L34" s="63"/>
      <c r="M34" s="63"/>
      <c r="N34" s="60"/>
      <c r="O34" s="64"/>
      <c r="P34" s="60"/>
    </row>
    <row r="35" spans="2:16" ht="12.75">
      <c r="B35" s="2" t="s">
        <v>13</v>
      </c>
      <c r="C35" s="52"/>
      <c r="D35" s="52"/>
      <c r="E35" s="41"/>
      <c r="F35" s="41"/>
      <c r="G35" s="41"/>
      <c r="H35" s="41"/>
      <c r="I35" s="105"/>
      <c r="J35" s="41"/>
      <c r="K35" s="2" t="s">
        <v>13</v>
      </c>
      <c r="L35" s="52"/>
      <c r="M35" s="52"/>
      <c r="N35" s="41"/>
      <c r="O35" s="41"/>
      <c r="P35" s="41"/>
    </row>
    <row r="36" spans="2:16" ht="12.75">
      <c r="B36" s="2" t="s">
        <v>18</v>
      </c>
      <c r="C36" s="52"/>
      <c r="D36" s="52"/>
      <c r="E36" s="41"/>
      <c r="F36" s="41"/>
      <c r="G36" s="41"/>
      <c r="H36" s="41"/>
      <c r="I36" s="105"/>
      <c r="J36" s="41"/>
      <c r="K36" s="2" t="s">
        <v>18</v>
      </c>
      <c r="L36" s="52"/>
      <c r="M36" s="52"/>
      <c r="N36" s="41"/>
      <c r="O36" s="41"/>
      <c r="P36" s="41"/>
    </row>
    <row r="37" spans="2:16" ht="12.75">
      <c r="B37" s="2" t="s">
        <v>20</v>
      </c>
      <c r="C37" s="52"/>
      <c r="D37" s="52"/>
      <c r="E37" s="53"/>
      <c r="F37" s="53"/>
      <c r="G37" s="53">
        <f>-G15/G12</f>
        <v>0.3662477558348294</v>
      </c>
      <c r="H37" s="53"/>
      <c r="I37" s="108"/>
      <c r="J37" s="41"/>
      <c r="K37" s="2" t="s">
        <v>20</v>
      </c>
      <c r="L37" s="52"/>
      <c r="M37" s="52"/>
      <c r="N37" s="53"/>
      <c r="O37" s="53"/>
      <c r="P37" s="53">
        <f>G37</f>
        <v>0.3662477558348294</v>
      </c>
    </row>
    <row r="38" spans="2:16" ht="12.75">
      <c r="B38" s="3" t="s">
        <v>19</v>
      </c>
      <c r="C38" s="65"/>
      <c r="D38" s="65"/>
      <c r="E38" s="66"/>
      <c r="F38" s="66"/>
      <c r="G38" s="66"/>
      <c r="H38" s="66"/>
      <c r="I38" s="115"/>
      <c r="J38" s="41"/>
      <c r="K38" s="3" t="s">
        <v>19</v>
      </c>
      <c r="L38" s="65"/>
      <c r="M38" s="65"/>
      <c r="N38" s="66"/>
      <c r="O38" s="66"/>
      <c r="P38" s="66"/>
    </row>
  </sheetData>
  <sheetProtection/>
  <printOptions/>
  <pageMargins left="0.75" right="0.75" top="1" bottom="1" header="0" footer="0"/>
  <pageSetup horizontalDpi="600" verticalDpi="600" orientation="portrait" paperSize="9" r:id="rId2"/>
  <ignoredErrors>
    <ignoredError sqref="P7:P37" unlockedFormula="1"/>
  </ignoredErrors>
  <legacyDrawing r:id="rId1"/>
</worksheet>
</file>

<file path=xl/worksheets/sheet8.xml><?xml version="1.0" encoding="utf-8"?>
<worksheet xmlns="http://schemas.openxmlformats.org/spreadsheetml/2006/main" xmlns:r="http://schemas.openxmlformats.org/officeDocument/2006/relationships">
  <sheetPr codeName="Sheet12"/>
  <dimension ref="B2:Q47"/>
  <sheetViews>
    <sheetView zoomScalePageLayoutView="0" workbookViewId="0" topLeftCell="A1">
      <selection activeCell="A1" sqref="A1"/>
    </sheetView>
  </sheetViews>
  <sheetFormatPr defaultColWidth="9.00390625" defaultRowHeight="12.75"/>
  <cols>
    <col min="1" max="1" width="9.00390625" style="1" customWidth="1"/>
    <col min="2" max="2" width="42.25390625" style="1" bestFit="1" customWidth="1"/>
    <col min="3" max="8" width="10.25390625" style="1" customWidth="1"/>
    <col min="9" max="9" width="1.12109375" style="96" customWidth="1"/>
    <col min="10" max="10" width="9.00390625" style="1" customWidth="1"/>
    <col min="11" max="11" width="42.25390625" style="1" bestFit="1" customWidth="1"/>
    <col min="12" max="16" width="10.125" style="1" customWidth="1"/>
    <col min="17" max="16384" width="9.00390625" style="1" customWidth="1"/>
  </cols>
  <sheetData>
    <row r="1" ht="13.5" thickBot="1"/>
    <row r="2" spans="2:15" ht="15.75" thickBot="1">
      <c r="B2" s="16" t="s">
        <v>41</v>
      </c>
      <c r="C2" s="136"/>
      <c r="D2" s="20"/>
      <c r="E2" s="20"/>
      <c r="F2" s="20"/>
      <c r="G2" s="20"/>
      <c r="H2" s="20"/>
      <c r="I2" s="109"/>
      <c r="K2" s="1" t="s">
        <v>47</v>
      </c>
      <c r="O2" s="23">
        <f>Frontpage!J2</f>
        <v>7.46</v>
      </c>
    </row>
    <row r="6" spans="2:16" ht="14.25">
      <c r="B6" s="5" t="s">
        <v>12</v>
      </c>
      <c r="C6" s="5">
        <v>2004</v>
      </c>
      <c r="D6" s="5">
        <v>2005</v>
      </c>
      <c r="E6" s="6" t="s">
        <v>24</v>
      </c>
      <c r="F6" s="6" t="s">
        <v>23</v>
      </c>
      <c r="G6" s="6" t="s">
        <v>22</v>
      </c>
      <c r="H6" s="94"/>
      <c r="I6" s="97"/>
      <c r="J6" s="41"/>
      <c r="K6" s="5" t="s">
        <v>48</v>
      </c>
      <c r="L6" s="5">
        <v>2004</v>
      </c>
      <c r="M6" s="5">
        <v>2005</v>
      </c>
      <c r="N6" s="6" t="s">
        <v>24</v>
      </c>
      <c r="O6" s="6" t="s">
        <v>23</v>
      </c>
      <c r="P6" s="6" t="s">
        <v>22</v>
      </c>
    </row>
    <row r="7" spans="2:16" ht="12.75">
      <c r="B7" s="1" t="s">
        <v>0</v>
      </c>
      <c r="C7" s="77">
        <f>-43.7+1.4</f>
        <v>-42.300000000000004</v>
      </c>
      <c r="D7" s="77">
        <f>-38.7+0.2</f>
        <v>-38.5</v>
      </c>
      <c r="E7" s="78">
        <v>-15.7</v>
      </c>
      <c r="F7" s="40">
        <f>D7-E7</f>
        <v>-22.8</v>
      </c>
      <c r="G7" s="78">
        <f>-37.4+2.4</f>
        <v>-35</v>
      </c>
      <c r="H7" s="78"/>
      <c r="I7" s="110"/>
      <c r="J7" s="41"/>
      <c r="K7" s="1" t="s">
        <v>0</v>
      </c>
      <c r="L7" s="77">
        <f>C7*$O$2</f>
        <v>-315.55800000000005</v>
      </c>
      <c r="M7" s="77">
        <f>D7*$O$2</f>
        <v>-287.21</v>
      </c>
      <c r="N7" s="78">
        <f>E7*$O$2</f>
        <v>-117.122</v>
      </c>
      <c r="O7" s="40">
        <f>F7*$O$2</f>
        <v>-170.088</v>
      </c>
      <c r="P7" s="78">
        <f>G7*$O$2</f>
        <v>-261.1</v>
      </c>
    </row>
    <row r="8" spans="3:16" ht="12.75">
      <c r="C8" s="79"/>
      <c r="D8" s="79"/>
      <c r="E8" s="40"/>
      <c r="F8" s="40"/>
      <c r="G8" s="40"/>
      <c r="H8" s="40"/>
      <c r="I8" s="104"/>
      <c r="J8" s="41"/>
      <c r="L8" s="79"/>
      <c r="M8" s="79"/>
      <c r="N8" s="40"/>
      <c r="O8" s="40"/>
      <c r="P8" s="40"/>
    </row>
    <row r="9" spans="3:16" ht="12.75">
      <c r="C9" s="79"/>
      <c r="D9" s="79"/>
      <c r="E9" s="40"/>
      <c r="F9" s="40"/>
      <c r="G9" s="40"/>
      <c r="H9" s="40"/>
      <c r="I9" s="104"/>
      <c r="J9" s="41"/>
      <c r="L9" s="79"/>
      <c r="M9" s="79"/>
      <c r="N9" s="40"/>
      <c r="O9" s="40"/>
      <c r="P9" s="40"/>
    </row>
    <row r="10" spans="3:17" ht="12.75">
      <c r="C10" s="80"/>
      <c r="D10" s="80"/>
      <c r="E10" s="81"/>
      <c r="F10" s="81"/>
      <c r="G10" s="81"/>
      <c r="H10" s="81"/>
      <c r="I10" s="111"/>
      <c r="J10" s="41"/>
      <c r="L10" s="80"/>
      <c r="M10" s="80"/>
      <c r="N10" s="81"/>
      <c r="O10" s="81"/>
      <c r="P10" s="81"/>
      <c r="Q10" s="81"/>
    </row>
    <row r="11" spans="2:16" ht="12.75">
      <c r="B11" s="1" t="s">
        <v>3</v>
      </c>
      <c r="C11" s="79">
        <f>C12-C7</f>
        <v>89</v>
      </c>
      <c r="D11" s="79">
        <f>D12-D7</f>
        <v>68</v>
      </c>
      <c r="E11" s="82">
        <f>E12-E7</f>
        <v>29.5</v>
      </c>
      <c r="F11" s="82">
        <f>F12-F7</f>
        <v>38.5</v>
      </c>
      <c r="G11" s="82">
        <f>G12-G7</f>
        <v>53.300000000000004</v>
      </c>
      <c r="H11" s="86"/>
      <c r="I11" s="112"/>
      <c r="J11" s="41"/>
      <c r="K11" s="1" t="s">
        <v>3</v>
      </c>
      <c r="L11" s="79">
        <f aca="true" t="shared" si="0" ref="L11:L18">C11*$O$2</f>
        <v>663.9399999999999</v>
      </c>
      <c r="M11" s="79">
        <f aca="true" t="shared" si="1" ref="M11:M18">D11*$O$2</f>
        <v>507.28</v>
      </c>
      <c r="N11" s="82">
        <f aca="true" t="shared" si="2" ref="N11:N18">E11*$O$2</f>
        <v>220.07</v>
      </c>
      <c r="O11" s="82">
        <f aca="true" t="shared" si="3" ref="O11:O18">F11*$O$2</f>
        <v>287.21</v>
      </c>
      <c r="P11" s="82">
        <f aca="true" t="shared" si="4" ref="P11:P18">G11*$O$2</f>
        <v>397.61800000000005</v>
      </c>
    </row>
    <row r="12" spans="2:16" ht="12.75">
      <c r="B12" s="9" t="s">
        <v>7</v>
      </c>
      <c r="C12" s="83">
        <f>43.1+0.2+3.4</f>
        <v>46.7</v>
      </c>
      <c r="D12" s="83">
        <f>31.9-2.3-0.1</f>
        <v>29.499999999999996</v>
      </c>
      <c r="E12" s="84">
        <f>15.6-1.8</f>
        <v>13.799999999999999</v>
      </c>
      <c r="F12" s="40">
        <f>D12-E12</f>
        <v>15.699999999999998</v>
      </c>
      <c r="G12" s="84">
        <f>38.7-20.4</f>
        <v>18.300000000000004</v>
      </c>
      <c r="H12" s="88"/>
      <c r="I12" s="113"/>
      <c r="J12" s="41"/>
      <c r="K12" s="9" t="s">
        <v>7</v>
      </c>
      <c r="L12" s="83">
        <f t="shared" si="0"/>
        <v>348.382</v>
      </c>
      <c r="M12" s="83">
        <f t="shared" si="1"/>
        <v>220.06999999999996</v>
      </c>
      <c r="N12" s="84">
        <f t="shared" si="2"/>
        <v>102.948</v>
      </c>
      <c r="O12" s="40">
        <f t="shared" si="3"/>
        <v>117.12199999999999</v>
      </c>
      <c r="P12" s="84">
        <f t="shared" si="4"/>
        <v>136.51800000000003</v>
      </c>
    </row>
    <row r="13" spans="2:16" ht="12.75">
      <c r="B13" s="18" t="s">
        <v>30</v>
      </c>
      <c r="C13" s="85"/>
      <c r="D13" s="85"/>
      <c r="E13" s="86"/>
      <c r="F13" s="86"/>
      <c r="G13" s="86"/>
      <c r="H13" s="86"/>
      <c r="I13" s="112"/>
      <c r="J13" s="41"/>
      <c r="K13" s="18" t="s">
        <v>30</v>
      </c>
      <c r="L13" s="85"/>
      <c r="M13" s="85"/>
      <c r="N13" s="86"/>
      <c r="O13" s="86"/>
      <c r="P13" s="86"/>
    </row>
    <row r="14" spans="2:16" ht="12.75">
      <c r="B14" s="18" t="s">
        <v>31</v>
      </c>
      <c r="C14" s="85"/>
      <c r="D14" s="85"/>
      <c r="E14" s="86"/>
      <c r="F14" s="86"/>
      <c r="G14" s="86"/>
      <c r="H14" s="86"/>
      <c r="I14" s="112"/>
      <c r="J14" s="41"/>
      <c r="K14" s="18" t="s">
        <v>31</v>
      </c>
      <c r="L14" s="85"/>
      <c r="M14" s="85"/>
      <c r="N14" s="86"/>
      <c r="O14" s="86"/>
      <c r="P14" s="86"/>
    </row>
    <row r="15" spans="2:16" ht="12.75">
      <c r="B15" s="8" t="s">
        <v>9</v>
      </c>
      <c r="C15" s="87">
        <f>-42+1.7</f>
        <v>-40.3</v>
      </c>
      <c r="D15" s="87">
        <f>-37.6+1</f>
        <v>-36.6</v>
      </c>
      <c r="E15" s="88">
        <f>-24.8+0.1</f>
        <v>-24.7</v>
      </c>
      <c r="F15" s="40">
        <f>D15-E15</f>
        <v>-11.900000000000002</v>
      </c>
      <c r="G15" s="88">
        <f>-28.5+3.2</f>
        <v>-25.3</v>
      </c>
      <c r="H15" s="88"/>
      <c r="I15" s="113"/>
      <c r="J15" s="41"/>
      <c r="K15" s="8" t="s">
        <v>9</v>
      </c>
      <c r="L15" s="87">
        <f t="shared" si="0"/>
        <v>-300.638</v>
      </c>
      <c r="M15" s="87">
        <f t="shared" si="1"/>
        <v>-273.036</v>
      </c>
      <c r="N15" s="88">
        <f t="shared" si="2"/>
        <v>-184.262</v>
      </c>
      <c r="O15" s="40">
        <f t="shared" si="3"/>
        <v>-88.77400000000002</v>
      </c>
      <c r="P15" s="88">
        <f t="shared" si="4"/>
        <v>-188.738</v>
      </c>
    </row>
    <row r="16" spans="2:16" ht="12.75">
      <c r="B16" s="9" t="s">
        <v>10</v>
      </c>
      <c r="C16" s="89">
        <f>C12+C15</f>
        <v>6.400000000000006</v>
      </c>
      <c r="D16" s="89">
        <f>D12+D15</f>
        <v>-7.100000000000005</v>
      </c>
      <c r="E16" s="90">
        <f>E12+E15</f>
        <v>-10.9</v>
      </c>
      <c r="F16" s="90">
        <f>+F12+F15</f>
        <v>3.7999999999999954</v>
      </c>
      <c r="G16" s="90">
        <f>G12+G15</f>
        <v>-6.9999999999999964</v>
      </c>
      <c r="H16" s="86"/>
      <c r="I16" s="112"/>
      <c r="J16" s="41"/>
      <c r="K16" s="9" t="s">
        <v>10</v>
      </c>
      <c r="L16" s="89">
        <f t="shared" si="0"/>
        <v>47.74400000000004</v>
      </c>
      <c r="M16" s="89">
        <f t="shared" si="1"/>
        <v>-52.96600000000004</v>
      </c>
      <c r="N16" s="90">
        <f t="shared" si="2"/>
        <v>-81.31400000000001</v>
      </c>
      <c r="O16" s="90">
        <f t="shared" si="3"/>
        <v>28.347999999999967</v>
      </c>
      <c r="P16" s="90">
        <f t="shared" si="4"/>
        <v>-52.21999999999997</v>
      </c>
    </row>
    <row r="17" spans="2:16" ht="12.75">
      <c r="B17" s="8" t="s">
        <v>4</v>
      </c>
      <c r="C17" s="87">
        <v>-3.4</v>
      </c>
      <c r="D17" s="87">
        <v>0.1</v>
      </c>
      <c r="E17" s="88">
        <v>0</v>
      </c>
      <c r="F17" s="40">
        <f>D17-E17</f>
        <v>0.1</v>
      </c>
      <c r="G17" s="88">
        <v>0</v>
      </c>
      <c r="H17" s="88"/>
      <c r="I17" s="113"/>
      <c r="J17" s="41"/>
      <c r="K17" s="8" t="s">
        <v>4</v>
      </c>
      <c r="L17" s="87">
        <f t="shared" si="0"/>
        <v>-25.364</v>
      </c>
      <c r="M17" s="87">
        <f t="shared" si="1"/>
        <v>0.746</v>
      </c>
      <c r="N17" s="88">
        <f t="shared" si="2"/>
        <v>0</v>
      </c>
      <c r="O17" s="40">
        <f t="shared" si="3"/>
        <v>0.746</v>
      </c>
      <c r="P17" s="88">
        <f t="shared" si="4"/>
        <v>0</v>
      </c>
    </row>
    <row r="18" spans="2:16" ht="12.75">
      <c r="B18" s="12" t="s">
        <v>5</v>
      </c>
      <c r="C18" s="91">
        <f>C16+C17</f>
        <v>3.0000000000000058</v>
      </c>
      <c r="D18" s="91">
        <f>D16+D17</f>
        <v>-7.000000000000005</v>
      </c>
      <c r="E18" s="92">
        <f>E16+E17</f>
        <v>-10.9</v>
      </c>
      <c r="F18" s="92">
        <f>F16+F17</f>
        <v>3.8999999999999955</v>
      </c>
      <c r="G18" s="92">
        <f>G16+G17</f>
        <v>-6.9999999999999964</v>
      </c>
      <c r="H18" s="86"/>
      <c r="I18" s="112"/>
      <c r="J18" s="41"/>
      <c r="K18" s="12" t="s">
        <v>5</v>
      </c>
      <c r="L18" s="91">
        <f t="shared" si="0"/>
        <v>22.38000000000004</v>
      </c>
      <c r="M18" s="91">
        <f t="shared" si="1"/>
        <v>-52.22000000000004</v>
      </c>
      <c r="N18" s="92">
        <f t="shared" si="2"/>
        <v>-81.31400000000001</v>
      </c>
      <c r="O18" s="92">
        <f t="shared" si="3"/>
        <v>29.093999999999966</v>
      </c>
      <c r="P18" s="92">
        <f t="shared" si="4"/>
        <v>-52.21999999999997</v>
      </c>
    </row>
    <row r="19" spans="3:16" ht="12.75">
      <c r="C19" s="41"/>
      <c r="D19" s="41"/>
      <c r="E19" s="41"/>
      <c r="F19" s="41"/>
      <c r="G19" s="41"/>
      <c r="H19" s="41"/>
      <c r="I19" s="105"/>
      <c r="J19" s="41"/>
      <c r="L19" s="41"/>
      <c r="M19" s="41"/>
      <c r="N19" s="41"/>
      <c r="O19" s="41"/>
      <c r="P19" s="41"/>
    </row>
    <row r="20" spans="3:16" ht="12.75">
      <c r="C20" s="41"/>
      <c r="D20" s="41"/>
      <c r="E20" s="41"/>
      <c r="F20" s="41"/>
      <c r="G20" s="41"/>
      <c r="H20" s="41"/>
      <c r="I20" s="105"/>
      <c r="J20" s="41"/>
      <c r="L20" s="41"/>
      <c r="M20" s="41"/>
      <c r="N20" s="41"/>
      <c r="O20" s="41"/>
      <c r="P20" s="41"/>
    </row>
    <row r="21" spans="3:16" ht="12.75">
      <c r="C21" s="41"/>
      <c r="D21" s="41"/>
      <c r="E21" s="41"/>
      <c r="F21" s="41"/>
      <c r="G21" s="41"/>
      <c r="H21" s="41"/>
      <c r="I21" s="105"/>
      <c r="J21" s="41"/>
      <c r="L21" s="41"/>
      <c r="M21" s="41"/>
      <c r="N21" s="41"/>
      <c r="O21" s="41"/>
      <c r="P21" s="41"/>
    </row>
    <row r="22" spans="3:16" ht="12.75">
      <c r="C22" s="41"/>
      <c r="D22" s="41"/>
      <c r="E22" s="41"/>
      <c r="F22" s="41"/>
      <c r="G22" s="41"/>
      <c r="H22" s="41"/>
      <c r="I22" s="105"/>
      <c r="J22" s="41"/>
      <c r="L22" s="41"/>
      <c r="M22" s="41"/>
      <c r="N22" s="41"/>
      <c r="O22" s="41"/>
      <c r="P22" s="41"/>
    </row>
    <row r="23" spans="3:16" ht="12.75">
      <c r="C23" s="41"/>
      <c r="D23" s="41"/>
      <c r="E23" s="41"/>
      <c r="F23" s="41"/>
      <c r="G23" s="41"/>
      <c r="H23" s="41"/>
      <c r="I23" s="105"/>
      <c r="J23" s="41"/>
      <c r="L23" s="41"/>
      <c r="M23" s="41"/>
      <c r="N23" s="41"/>
      <c r="O23" s="41"/>
      <c r="P23" s="41"/>
    </row>
    <row r="24" spans="2:16" ht="14.25">
      <c r="B24" s="5" t="s">
        <v>12</v>
      </c>
      <c r="C24" s="5">
        <v>2004</v>
      </c>
      <c r="D24" s="5">
        <v>2005</v>
      </c>
      <c r="E24" s="6" t="str">
        <f>E6</f>
        <v>1H-2005</v>
      </c>
      <c r="F24" s="6" t="str">
        <f>F6</f>
        <v>2H-2005</v>
      </c>
      <c r="G24" s="6" t="str">
        <f>G6</f>
        <v>1H-2006</v>
      </c>
      <c r="H24" s="94"/>
      <c r="I24" s="97"/>
      <c r="J24" s="41"/>
      <c r="K24" s="5" t="s">
        <v>48</v>
      </c>
      <c r="L24" s="5">
        <v>2004</v>
      </c>
      <c r="M24" s="5">
        <v>2005</v>
      </c>
      <c r="N24" s="6" t="str">
        <f>N6</f>
        <v>1H-2005</v>
      </c>
      <c r="O24" s="6" t="str">
        <f>O6</f>
        <v>2H-2005</v>
      </c>
      <c r="P24" s="6" t="str">
        <f>P6</f>
        <v>1H-2006</v>
      </c>
    </row>
    <row r="25" spans="2:16" ht="12.75">
      <c r="B25" s="2" t="s">
        <v>15</v>
      </c>
      <c r="C25" s="42"/>
      <c r="D25" s="42"/>
      <c r="E25" s="43"/>
      <c r="F25" s="44"/>
      <c r="G25" s="43"/>
      <c r="H25" s="43"/>
      <c r="I25" s="106"/>
      <c r="J25" s="41"/>
      <c r="K25" s="2" t="s">
        <v>15</v>
      </c>
      <c r="L25" s="42"/>
      <c r="M25" s="42"/>
      <c r="N25" s="43"/>
      <c r="O25" s="44"/>
      <c r="P25" s="43"/>
    </row>
    <row r="26" spans="2:16" ht="12.75">
      <c r="B26" s="3" t="s">
        <v>33</v>
      </c>
      <c r="C26" s="45">
        <f>724-454.3</f>
        <v>269.7</v>
      </c>
      <c r="D26" s="45">
        <f>688.1-808.9</f>
        <v>-120.79999999999995</v>
      </c>
      <c r="E26" s="46">
        <f>827.1-535.6</f>
        <v>291.5</v>
      </c>
      <c r="F26" s="47">
        <f>D26</f>
        <v>-120.79999999999995</v>
      </c>
      <c r="G26" s="46">
        <f>951-999.6</f>
        <v>-48.60000000000002</v>
      </c>
      <c r="H26" s="46"/>
      <c r="I26" s="107"/>
      <c r="J26" s="41"/>
      <c r="K26" s="3" t="s">
        <v>33</v>
      </c>
      <c r="L26" s="45">
        <f aca="true" t="shared" si="5" ref="L26:P28">C26*$O$2</f>
        <v>2011.962</v>
      </c>
      <c r="M26" s="45">
        <f t="shared" si="5"/>
        <v>-901.1679999999997</v>
      </c>
      <c r="N26" s="46">
        <f t="shared" si="5"/>
        <v>2174.59</v>
      </c>
      <c r="O26" s="47">
        <f t="shared" si="5"/>
        <v>-901.1679999999997</v>
      </c>
      <c r="P26" s="46">
        <f t="shared" si="5"/>
        <v>-362.55600000000015</v>
      </c>
    </row>
    <row r="27" spans="2:16" ht="12.75">
      <c r="B27" s="8" t="s">
        <v>8</v>
      </c>
      <c r="C27" s="45">
        <f>4479.2-547.9</f>
        <v>3931.2999999999997</v>
      </c>
      <c r="D27" s="45">
        <f>4878.7-1076.9</f>
        <v>3801.7999999999997</v>
      </c>
      <c r="E27" s="46">
        <f>4769.2-661.4</f>
        <v>4107.8</v>
      </c>
      <c r="F27" s="48">
        <f>D27</f>
        <v>3801.7999999999997</v>
      </c>
      <c r="G27" s="46">
        <f>5817-1368.8</f>
        <v>4448.2</v>
      </c>
      <c r="H27" s="46"/>
      <c r="I27" s="107"/>
      <c r="J27" s="41"/>
      <c r="K27" s="8" t="s">
        <v>8</v>
      </c>
      <c r="L27" s="45">
        <f t="shared" si="5"/>
        <v>29327.498</v>
      </c>
      <c r="M27" s="45">
        <f t="shared" si="5"/>
        <v>28361.427999999996</v>
      </c>
      <c r="N27" s="46">
        <f t="shared" si="5"/>
        <v>30644.188000000002</v>
      </c>
      <c r="O27" s="48">
        <f t="shared" si="5"/>
        <v>28361.427999999996</v>
      </c>
      <c r="P27" s="46">
        <f t="shared" si="5"/>
        <v>33183.572</v>
      </c>
    </row>
    <row r="28" spans="2:16" ht="12.75">
      <c r="B28" s="3" t="s">
        <v>27</v>
      </c>
      <c r="C28" s="45">
        <f>1381.3-454.3</f>
        <v>927</v>
      </c>
      <c r="D28" s="45">
        <f>318.6-808.9</f>
        <v>-490.29999999999995</v>
      </c>
      <c r="E28" s="46">
        <f>471.9-535.6</f>
        <v>-63.700000000000045</v>
      </c>
      <c r="F28" s="47">
        <f>D28</f>
        <v>-490.29999999999995</v>
      </c>
      <c r="G28" s="46">
        <f>673.2-999.7</f>
        <v>-326.5</v>
      </c>
      <c r="H28" s="46"/>
      <c r="I28" s="107"/>
      <c r="J28" s="41"/>
      <c r="K28" s="3" t="s">
        <v>27</v>
      </c>
      <c r="L28" s="45">
        <f t="shared" si="5"/>
        <v>6915.42</v>
      </c>
      <c r="M28" s="45">
        <f t="shared" si="5"/>
        <v>-3657.6379999999995</v>
      </c>
      <c r="N28" s="46">
        <f t="shared" si="5"/>
        <v>-475.20200000000034</v>
      </c>
      <c r="O28" s="47">
        <f t="shared" si="5"/>
        <v>-3657.6379999999995</v>
      </c>
      <c r="P28" s="46">
        <f t="shared" si="5"/>
        <v>-2435.69</v>
      </c>
    </row>
    <row r="29" spans="2:16" ht="12.75">
      <c r="B29" s="2" t="s">
        <v>34</v>
      </c>
      <c r="C29" s="42"/>
      <c r="D29" s="42"/>
      <c r="E29" s="43"/>
      <c r="F29" s="47"/>
      <c r="G29" s="43"/>
      <c r="H29" s="43"/>
      <c r="I29" s="106"/>
      <c r="J29" s="41"/>
      <c r="K29" s="2" t="s">
        <v>34</v>
      </c>
      <c r="L29" s="42"/>
      <c r="M29" s="42"/>
      <c r="N29" s="43"/>
      <c r="O29" s="47"/>
      <c r="P29" s="43"/>
    </row>
    <row r="30" spans="2:16" ht="12.75">
      <c r="B30" s="11" t="s">
        <v>16</v>
      </c>
      <c r="C30" s="49"/>
      <c r="D30" s="49"/>
      <c r="E30" s="50"/>
      <c r="F30" s="51"/>
      <c r="G30" s="50"/>
      <c r="H30" s="46"/>
      <c r="I30" s="107"/>
      <c r="J30" s="41"/>
      <c r="K30" s="11" t="s">
        <v>16</v>
      </c>
      <c r="L30" s="49"/>
      <c r="M30" s="49"/>
      <c r="N30" s="50"/>
      <c r="O30" s="51"/>
      <c r="P30" s="50"/>
    </row>
    <row r="31" spans="3:16" ht="12.75">
      <c r="C31" s="41"/>
      <c r="D31" s="41"/>
      <c r="E31" s="41"/>
      <c r="F31" s="41"/>
      <c r="G31" s="41"/>
      <c r="H31" s="41"/>
      <c r="I31" s="105"/>
      <c r="J31" s="41"/>
      <c r="L31" s="41"/>
      <c r="M31" s="41"/>
      <c r="N31" s="41"/>
      <c r="O31" s="41"/>
      <c r="P31" s="41"/>
    </row>
    <row r="32" spans="3:16" ht="12.75">
      <c r="C32" s="41"/>
      <c r="D32" s="41"/>
      <c r="E32" s="41"/>
      <c r="F32" s="41"/>
      <c r="G32" s="41"/>
      <c r="H32" s="41"/>
      <c r="I32" s="105"/>
      <c r="J32" s="41"/>
      <c r="L32" s="41"/>
      <c r="M32" s="41"/>
      <c r="N32" s="41"/>
      <c r="O32" s="41"/>
      <c r="P32" s="41"/>
    </row>
    <row r="33" spans="2:16" ht="14.25">
      <c r="B33" s="5"/>
      <c r="C33" s="5">
        <v>2004</v>
      </c>
      <c r="D33" s="5">
        <v>2005</v>
      </c>
      <c r="E33" s="6" t="str">
        <f>E6</f>
        <v>1H-2005</v>
      </c>
      <c r="F33" s="6" t="str">
        <f>F6</f>
        <v>2H-2005</v>
      </c>
      <c r="G33" s="6" t="str">
        <f>G6</f>
        <v>1H-2006</v>
      </c>
      <c r="H33" s="94"/>
      <c r="I33" s="97"/>
      <c r="J33" s="41"/>
      <c r="K33" s="5"/>
      <c r="L33" s="5">
        <v>2004</v>
      </c>
      <c r="M33" s="5">
        <v>2005</v>
      </c>
      <c r="N33" s="6" t="str">
        <f>N6</f>
        <v>1H-2005</v>
      </c>
      <c r="O33" s="6" t="str">
        <f>O6</f>
        <v>2H-2005</v>
      </c>
      <c r="P33" s="6" t="str">
        <f>P6</f>
        <v>1H-2006</v>
      </c>
    </row>
    <row r="34" spans="2:16" ht="25.5">
      <c r="B34" s="10" t="s">
        <v>21</v>
      </c>
      <c r="C34" s="63"/>
      <c r="D34" s="63"/>
      <c r="E34" s="60"/>
      <c r="F34" s="64"/>
      <c r="G34" s="60"/>
      <c r="H34" s="60"/>
      <c r="I34" s="114"/>
      <c r="J34" s="41"/>
      <c r="K34" s="10" t="s">
        <v>21</v>
      </c>
      <c r="L34" s="63"/>
      <c r="M34" s="63"/>
      <c r="N34" s="60"/>
      <c r="O34" s="64"/>
      <c r="P34" s="60"/>
    </row>
    <row r="35" spans="2:16" ht="12.75">
      <c r="B35" s="2" t="s">
        <v>13</v>
      </c>
      <c r="C35" s="52"/>
      <c r="D35" s="52"/>
      <c r="E35" s="41"/>
      <c r="F35" s="41"/>
      <c r="G35" s="41"/>
      <c r="H35" s="41"/>
      <c r="I35" s="105"/>
      <c r="J35" s="41"/>
      <c r="K35" s="2" t="s">
        <v>13</v>
      </c>
      <c r="L35" s="52"/>
      <c r="M35" s="52"/>
      <c r="N35" s="41"/>
      <c r="O35" s="41"/>
      <c r="P35" s="41"/>
    </row>
    <row r="36" spans="2:16" ht="12.75">
      <c r="B36" s="2" t="s">
        <v>18</v>
      </c>
      <c r="C36" s="52"/>
      <c r="D36" s="52"/>
      <c r="E36" s="41"/>
      <c r="F36" s="41"/>
      <c r="G36" s="41"/>
      <c r="H36" s="41"/>
      <c r="I36" s="105"/>
      <c r="J36" s="41"/>
      <c r="K36" s="2" t="s">
        <v>18</v>
      </c>
      <c r="L36" s="52"/>
      <c r="M36" s="52"/>
      <c r="N36" s="41"/>
      <c r="O36" s="41"/>
      <c r="P36" s="41"/>
    </row>
    <row r="37" spans="2:16" ht="12.75">
      <c r="B37" s="2" t="s">
        <v>20</v>
      </c>
      <c r="C37" s="52">
        <f>-C15/C12</f>
        <v>0.8629550321199142</v>
      </c>
      <c r="D37" s="52">
        <f>-D15/D12</f>
        <v>1.2406779661016951</v>
      </c>
      <c r="E37" s="53">
        <f>-E15/E12</f>
        <v>1.7898550724637683</v>
      </c>
      <c r="F37" s="53">
        <f>-F15/F12</f>
        <v>0.7579617834394907</v>
      </c>
      <c r="G37" s="53">
        <f>-G15/G12</f>
        <v>1.3825136612021856</v>
      </c>
      <c r="H37" s="53"/>
      <c r="I37" s="108"/>
      <c r="J37" s="41"/>
      <c r="K37" s="2" t="s">
        <v>20</v>
      </c>
      <c r="L37" s="52">
        <f>C37</f>
        <v>0.8629550321199142</v>
      </c>
      <c r="M37" s="52">
        <f>D37</f>
        <v>1.2406779661016951</v>
      </c>
      <c r="N37" s="53">
        <f>E37</f>
        <v>1.7898550724637683</v>
      </c>
      <c r="O37" s="53">
        <f>F37</f>
        <v>0.7579617834394907</v>
      </c>
      <c r="P37" s="53">
        <f>G37</f>
        <v>1.3825136612021856</v>
      </c>
    </row>
    <row r="38" spans="2:16" ht="12.75">
      <c r="B38" s="3" t="s">
        <v>19</v>
      </c>
      <c r="C38" s="65"/>
      <c r="D38" s="65"/>
      <c r="E38" s="66"/>
      <c r="F38" s="66"/>
      <c r="G38" s="66"/>
      <c r="H38" s="66"/>
      <c r="I38" s="115"/>
      <c r="J38" s="41"/>
      <c r="K38" s="3" t="s">
        <v>19</v>
      </c>
      <c r="L38" s="65"/>
      <c r="M38" s="65"/>
      <c r="N38" s="66"/>
      <c r="O38" s="66"/>
      <c r="P38" s="66"/>
    </row>
    <row r="39" spans="3:16" ht="12.75">
      <c r="C39" s="41"/>
      <c r="D39" s="41"/>
      <c r="E39" s="41"/>
      <c r="F39" s="41"/>
      <c r="G39" s="41"/>
      <c r="H39" s="41"/>
      <c r="I39" s="105"/>
      <c r="J39" s="41"/>
      <c r="L39" s="41"/>
      <c r="M39" s="41"/>
      <c r="N39" s="41"/>
      <c r="O39" s="41"/>
      <c r="P39" s="41"/>
    </row>
    <row r="40" spans="3:12" ht="12.75">
      <c r="C40" s="41"/>
      <c r="D40" s="41"/>
      <c r="E40" s="41"/>
      <c r="F40" s="41"/>
      <c r="G40" s="41"/>
      <c r="H40" s="41"/>
      <c r="I40" s="105"/>
      <c r="J40" s="41"/>
      <c r="K40" s="41"/>
      <c r="L40" s="41"/>
    </row>
    <row r="41" spans="3:12" ht="12.75">
      <c r="C41" s="41"/>
      <c r="D41" s="41"/>
      <c r="E41" s="41"/>
      <c r="F41" s="41"/>
      <c r="G41" s="41"/>
      <c r="H41" s="41"/>
      <c r="I41" s="105"/>
      <c r="J41" s="41"/>
      <c r="K41" s="41"/>
      <c r="L41" s="41"/>
    </row>
    <row r="42" spans="3:12" ht="12.75">
      <c r="C42" s="41"/>
      <c r="D42" s="41"/>
      <c r="E42" s="41"/>
      <c r="F42" s="41"/>
      <c r="G42" s="41"/>
      <c r="H42" s="41"/>
      <c r="I42" s="105"/>
      <c r="J42" s="41"/>
      <c r="K42" s="41"/>
      <c r="L42" s="41"/>
    </row>
    <row r="43" spans="3:12" ht="12.75">
      <c r="C43" s="41"/>
      <c r="D43" s="41"/>
      <c r="E43" s="41"/>
      <c r="F43" s="41"/>
      <c r="G43" s="41"/>
      <c r="H43" s="41"/>
      <c r="I43" s="105"/>
      <c r="J43" s="41"/>
      <c r="K43" s="41"/>
      <c r="L43" s="41"/>
    </row>
    <row r="44" spans="3:12" ht="12.75">
      <c r="C44" s="41"/>
      <c r="D44" s="41"/>
      <c r="E44" s="41"/>
      <c r="F44" s="41"/>
      <c r="G44" s="41"/>
      <c r="H44" s="41"/>
      <c r="I44" s="105"/>
      <c r="J44" s="41"/>
      <c r="K44" s="41"/>
      <c r="L44" s="41"/>
    </row>
    <row r="45" spans="3:12" ht="12.75">
      <c r="C45" s="41"/>
      <c r="D45" s="41"/>
      <c r="E45" s="41"/>
      <c r="F45" s="41"/>
      <c r="G45" s="41"/>
      <c r="H45" s="41"/>
      <c r="I45" s="105"/>
      <c r="J45" s="41"/>
      <c r="K45" s="41"/>
      <c r="L45" s="41"/>
    </row>
    <row r="46" spans="3:12" ht="12.75">
      <c r="C46" s="41"/>
      <c r="D46" s="41"/>
      <c r="E46" s="41"/>
      <c r="F46" s="41"/>
      <c r="G46" s="41"/>
      <c r="H46" s="41"/>
      <c r="I46" s="105"/>
      <c r="J46" s="41"/>
      <c r="K46" s="41"/>
      <c r="L46" s="41"/>
    </row>
    <row r="47" spans="3:12" ht="12.75">
      <c r="C47" s="41"/>
      <c r="D47" s="41"/>
      <c r="E47" s="41"/>
      <c r="F47" s="41"/>
      <c r="G47" s="41"/>
      <c r="H47" s="41"/>
      <c r="I47" s="105"/>
      <c r="J47" s="41"/>
      <c r="K47" s="41"/>
      <c r="L47" s="41"/>
    </row>
  </sheetData>
  <sheetProtection/>
  <printOptions/>
  <pageMargins left="0.75" right="0.75" top="1" bottom="1" header="0" footer="0"/>
  <pageSetup horizontalDpi="600" verticalDpi="600" orientation="portrait" paperSize="9" r:id="rId2"/>
  <ignoredErrors>
    <ignoredError sqref="L37:P37 G7:G30 F7:F15 F17:F30 L7:Q7 Q31:Q37 L11:P12 L15:P18 Q11:Q18 Q21:Q24 L21:P24 L26:P28 Q26:Q28 L31:P33 C7:C30 E7:E30 D7:D15 D16:D30" unlockedFormula="1"/>
    <ignoredError sqref="F16" formula="1" unlockedFormula="1"/>
  </ignoredErrors>
  <legacyDrawing r:id="rId1"/>
</worksheet>
</file>

<file path=xl/worksheets/sheet9.xml><?xml version="1.0" encoding="utf-8"?>
<worksheet xmlns="http://schemas.openxmlformats.org/spreadsheetml/2006/main" xmlns:r="http://schemas.openxmlformats.org/officeDocument/2006/relationships">
  <sheetPr codeName="Sheet2"/>
  <dimension ref="B2:H39"/>
  <sheetViews>
    <sheetView zoomScalePageLayoutView="0" workbookViewId="0" topLeftCell="A1">
      <selection activeCell="A1" sqref="A1"/>
    </sheetView>
  </sheetViews>
  <sheetFormatPr defaultColWidth="9.00390625" defaultRowHeight="12.75"/>
  <cols>
    <col min="1" max="1" width="9.00390625" style="1" customWidth="1"/>
    <col min="2" max="2" width="42.25390625" style="1" bestFit="1" customWidth="1"/>
    <col min="3" max="7" width="10.25390625" style="1" customWidth="1"/>
    <col min="8" max="16384" width="9.00390625" style="1" customWidth="1"/>
  </cols>
  <sheetData>
    <row r="2" ht="15">
      <c r="B2" s="16" t="s">
        <v>44</v>
      </c>
    </row>
    <row r="6" spans="2:8" ht="14.25">
      <c r="B6" s="5" t="s">
        <v>48</v>
      </c>
      <c r="C6" s="5">
        <v>2004</v>
      </c>
      <c r="D6" s="5">
        <v>2005</v>
      </c>
      <c r="E6" s="6" t="s">
        <v>24</v>
      </c>
      <c r="F6" s="6" t="s">
        <v>23</v>
      </c>
      <c r="G6" s="6" t="s">
        <v>22</v>
      </c>
      <c r="H6" s="41"/>
    </row>
    <row r="7" spans="2:8" ht="12.75">
      <c r="B7" s="1" t="s">
        <v>0</v>
      </c>
      <c r="C7" s="42">
        <v>14752</v>
      </c>
      <c r="D7" s="42">
        <v>17166</v>
      </c>
      <c r="E7" s="43">
        <v>8272</v>
      </c>
      <c r="F7" s="43">
        <f aca="true" t="shared" si="0" ref="F7:F12">D7-E7</f>
        <v>8894</v>
      </c>
      <c r="G7" s="43">
        <v>9286</v>
      </c>
      <c r="H7" s="61"/>
    </row>
    <row r="8" spans="2:8" ht="12.75">
      <c r="B8" s="1" t="s">
        <v>1</v>
      </c>
      <c r="C8" s="121">
        <v>5898</v>
      </c>
      <c r="D8" s="42">
        <v>7288</v>
      </c>
      <c r="E8" s="43">
        <v>3404</v>
      </c>
      <c r="F8" s="43">
        <f t="shared" si="0"/>
        <v>3884</v>
      </c>
      <c r="G8" s="61">
        <v>3771</v>
      </c>
      <c r="H8" s="61"/>
    </row>
    <row r="9" spans="2:8" ht="12.75">
      <c r="B9" s="1" t="s">
        <v>2</v>
      </c>
      <c r="C9" s="121">
        <v>4877</v>
      </c>
      <c r="D9" s="42">
        <v>6351</v>
      </c>
      <c r="E9" s="43">
        <v>3292</v>
      </c>
      <c r="F9" s="43">
        <f t="shared" si="0"/>
        <v>3059</v>
      </c>
      <c r="G9" s="61">
        <v>3466</v>
      </c>
      <c r="H9" s="61"/>
    </row>
    <row r="10" spans="2:8" ht="12.75">
      <c r="B10" s="1" t="s">
        <v>14</v>
      </c>
      <c r="C10" s="122">
        <v>1631</v>
      </c>
      <c r="D10" s="121">
        <v>1647</v>
      </c>
      <c r="E10" s="123">
        <v>721</v>
      </c>
      <c r="F10" s="123">
        <f t="shared" si="0"/>
        <v>926</v>
      </c>
      <c r="G10" s="123">
        <v>1234</v>
      </c>
      <c r="H10" s="61"/>
    </row>
    <row r="11" spans="2:8" ht="12.75">
      <c r="B11" s="1" t="s">
        <v>3</v>
      </c>
      <c r="C11" s="124">
        <v>2029</v>
      </c>
      <c r="D11" s="124">
        <v>2256</v>
      </c>
      <c r="E11" s="125">
        <v>1080</v>
      </c>
      <c r="F11" s="125">
        <f t="shared" si="0"/>
        <v>1176</v>
      </c>
      <c r="G11" s="125">
        <v>33</v>
      </c>
      <c r="H11" s="61"/>
    </row>
    <row r="12" spans="2:8" ht="12.75">
      <c r="B12" s="9" t="s">
        <v>7</v>
      </c>
      <c r="C12" s="42">
        <v>29187</v>
      </c>
      <c r="D12" s="42">
        <v>34708</v>
      </c>
      <c r="E12" s="43">
        <v>16769</v>
      </c>
      <c r="F12" s="43">
        <f t="shared" si="0"/>
        <v>17939</v>
      </c>
      <c r="G12" s="43">
        <v>17790</v>
      </c>
      <c r="H12" s="61"/>
    </row>
    <row r="13" spans="2:8" ht="12.75">
      <c r="B13" s="18" t="s">
        <v>30</v>
      </c>
      <c r="C13" s="121"/>
      <c r="D13" s="42"/>
      <c r="E13" s="46"/>
      <c r="F13" s="46"/>
      <c r="G13" s="46"/>
      <c r="H13" s="61"/>
    </row>
    <row r="14" spans="2:8" ht="12.75">
      <c r="B14" s="18" t="s">
        <v>31</v>
      </c>
      <c r="C14" s="121"/>
      <c r="D14" s="42"/>
      <c r="E14" s="46"/>
      <c r="F14" s="46"/>
      <c r="G14" s="46"/>
      <c r="H14" s="61"/>
    </row>
    <row r="15" spans="2:8" ht="12.75">
      <c r="B15" s="8" t="s">
        <v>9</v>
      </c>
      <c r="C15" s="124">
        <v>-15393</v>
      </c>
      <c r="D15" s="124">
        <v>-18198</v>
      </c>
      <c r="E15" s="125">
        <v>-8658</v>
      </c>
      <c r="F15" s="125">
        <f>D15-E15</f>
        <v>-9540</v>
      </c>
      <c r="G15" s="125">
        <v>-9739</v>
      </c>
      <c r="H15" s="61"/>
    </row>
    <row r="16" spans="2:8" ht="12.75">
      <c r="B16" s="9" t="s">
        <v>10</v>
      </c>
      <c r="C16" s="93">
        <v>13794</v>
      </c>
      <c r="D16" s="93">
        <v>16510</v>
      </c>
      <c r="E16" s="61">
        <v>8111</v>
      </c>
      <c r="F16" s="126">
        <f aca="true" t="shared" si="1" ref="F16:F21">D16-E16</f>
        <v>8399</v>
      </c>
      <c r="G16" s="61">
        <v>8051</v>
      </c>
      <c r="H16" s="61"/>
    </row>
    <row r="17" spans="2:8" ht="12.75">
      <c r="B17" s="8" t="s">
        <v>4</v>
      </c>
      <c r="C17" s="127">
        <v>-759</v>
      </c>
      <c r="D17" s="127">
        <v>1096</v>
      </c>
      <c r="E17" s="46">
        <v>225</v>
      </c>
      <c r="F17" s="46">
        <f t="shared" si="1"/>
        <v>871</v>
      </c>
      <c r="G17" s="46">
        <v>443</v>
      </c>
      <c r="H17" s="61"/>
    </row>
    <row r="18" spans="2:8" ht="12.75">
      <c r="B18" s="12" t="s">
        <v>5</v>
      </c>
      <c r="C18" s="128">
        <v>13035</v>
      </c>
      <c r="D18" s="128">
        <v>17606</v>
      </c>
      <c r="E18" s="129">
        <v>8336</v>
      </c>
      <c r="F18" s="129">
        <f t="shared" si="1"/>
        <v>9270</v>
      </c>
      <c r="G18" s="129">
        <v>8494</v>
      </c>
      <c r="H18" s="61"/>
    </row>
    <row r="19" spans="2:8" ht="12.75">
      <c r="B19" s="7" t="s">
        <v>6</v>
      </c>
      <c r="C19" s="127">
        <v>-3718</v>
      </c>
      <c r="D19" s="127">
        <v>-4921</v>
      </c>
      <c r="E19" s="130">
        <v>-2352</v>
      </c>
      <c r="F19" s="130">
        <f t="shared" si="1"/>
        <v>-2569</v>
      </c>
      <c r="G19" s="130">
        <v>-2407</v>
      </c>
      <c r="H19" s="61"/>
    </row>
    <row r="20" spans="2:8" ht="12.75">
      <c r="B20" s="4" t="s">
        <v>11</v>
      </c>
      <c r="C20" s="131">
        <v>9317</v>
      </c>
      <c r="D20" s="131">
        <v>12685</v>
      </c>
      <c r="E20" s="132">
        <v>5984</v>
      </c>
      <c r="F20" s="133">
        <f t="shared" si="1"/>
        <v>6701</v>
      </c>
      <c r="G20" s="132">
        <v>6087</v>
      </c>
      <c r="H20" s="61"/>
    </row>
    <row r="21" spans="2:8" ht="12.75">
      <c r="B21" s="1" t="s">
        <v>35</v>
      </c>
      <c r="C21" s="61">
        <v>28</v>
      </c>
      <c r="D21" s="61">
        <v>4</v>
      </c>
      <c r="E21" s="61">
        <v>0</v>
      </c>
      <c r="F21" s="61">
        <f t="shared" si="1"/>
        <v>4</v>
      </c>
      <c r="G21" s="61">
        <v>-13</v>
      </c>
      <c r="H21" s="61"/>
    </row>
    <row r="22" spans="3:8" ht="12.75">
      <c r="C22" s="61"/>
      <c r="D22" s="61"/>
      <c r="E22" s="61"/>
      <c r="F22" s="61"/>
      <c r="G22" s="61"/>
      <c r="H22" s="61"/>
    </row>
    <row r="23" spans="3:8" ht="12.75">
      <c r="C23" s="61"/>
      <c r="D23" s="61"/>
      <c r="E23" s="61"/>
      <c r="F23" s="61"/>
      <c r="G23" s="61"/>
      <c r="H23" s="61"/>
    </row>
    <row r="24" spans="2:8" ht="14.25">
      <c r="B24" s="5" t="s">
        <v>48</v>
      </c>
      <c r="C24" s="5">
        <v>2004</v>
      </c>
      <c r="D24" s="5">
        <v>2005</v>
      </c>
      <c r="E24" s="134" t="s">
        <v>24</v>
      </c>
      <c r="F24" s="134" t="s">
        <v>23</v>
      </c>
      <c r="G24" s="134" t="s">
        <v>22</v>
      </c>
      <c r="H24" s="61"/>
    </row>
    <row r="25" spans="2:8" ht="12.75">
      <c r="B25" s="2" t="s">
        <v>15</v>
      </c>
      <c r="C25" s="42">
        <v>808329</v>
      </c>
      <c r="D25" s="42">
        <v>944163</v>
      </c>
      <c r="E25" s="43">
        <v>927064</v>
      </c>
      <c r="F25" s="44">
        <v>944163</v>
      </c>
      <c r="G25" s="43">
        <v>1019453</v>
      </c>
      <c r="H25" s="61"/>
    </row>
    <row r="26" spans="2:8" ht="12.75">
      <c r="B26" s="3" t="s">
        <v>33</v>
      </c>
      <c r="C26" s="93">
        <f>615238+524428</f>
        <v>1139666</v>
      </c>
      <c r="D26" s="45">
        <f>829603+569092</f>
        <v>1398695</v>
      </c>
      <c r="E26" s="46">
        <f>766921+545801</f>
        <v>1312722</v>
      </c>
      <c r="F26" s="47">
        <f>829603+569092</f>
        <v>1398695</v>
      </c>
      <c r="G26" s="46">
        <f>973041+573105</f>
        <v>1546146</v>
      </c>
      <c r="H26" s="61"/>
    </row>
    <row r="27" spans="2:8" ht="12.75">
      <c r="B27" s="8" t="s">
        <v>8</v>
      </c>
      <c r="C27" s="45">
        <v>2052507</v>
      </c>
      <c r="D27" s="45">
        <v>2431988</v>
      </c>
      <c r="E27" s="46">
        <v>2433286</v>
      </c>
      <c r="F27" s="48">
        <v>2431988</v>
      </c>
      <c r="G27" s="46">
        <v>2512528</v>
      </c>
      <c r="H27" s="61"/>
    </row>
    <row r="28" spans="2:8" ht="12.75">
      <c r="B28" s="3" t="s">
        <v>27</v>
      </c>
      <c r="C28" s="45">
        <v>353369</v>
      </c>
      <c r="D28" s="45">
        <f>476363+631184</f>
        <v>1107547</v>
      </c>
      <c r="E28" s="46">
        <f>511431+603476</f>
        <v>1114907</v>
      </c>
      <c r="F28" s="47">
        <f>476363+631184</f>
        <v>1107547</v>
      </c>
      <c r="G28" s="46">
        <f>470457+688845</f>
        <v>1159302</v>
      </c>
      <c r="H28" s="61"/>
    </row>
    <row r="29" spans="2:8" ht="12.75">
      <c r="B29" s="2" t="s">
        <v>34</v>
      </c>
      <c r="C29" s="42">
        <f>190255+33698</f>
        <v>223953</v>
      </c>
      <c r="D29" s="42">
        <f>251099+43837</f>
        <v>294936</v>
      </c>
      <c r="E29" s="43">
        <f>217551+41888</f>
        <v>259439</v>
      </c>
      <c r="F29" s="47">
        <f>251099+43837</f>
        <v>294936</v>
      </c>
      <c r="G29" s="43">
        <f>268291+40164</f>
        <v>308455</v>
      </c>
      <c r="H29" s="61"/>
    </row>
    <row r="30" spans="2:8" ht="12.75">
      <c r="B30" s="11" t="s">
        <v>42</v>
      </c>
      <c r="C30" s="49">
        <v>66423</v>
      </c>
      <c r="D30" s="49">
        <v>74042</v>
      </c>
      <c r="E30" s="50">
        <v>67610</v>
      </c>
      <c r="F30" s="51">
        <v>74042</v>
      </c>
      <c r="G30" s="50">
        <v>73413</v>
      </c>
      <c r="H30" s="61"/>
    </row>
    <row r="31" spans="3:8" ht="12.75">
      <c r="C31" s="41"/>
      <c r="D31" s="41"/>
      <c r="E31" s="41"/>
      <c r="F31" s="41"/>
      <c r="G31" s="41"/>
      <c r="H31" s="41"/>
    </row>
    <row r="32" spans="3:8" ht="12.75">
      <c r="C32" s="41"/>
      <c r="D32" s="41"/>
      <c r="E32" s="41"/>
      <c r="F32" s="41"/>
      <c r="G32" s="41"/>
      <c r="H32" s="41"/>
    </row>
    <row r="33" spans="2:8" ht="14.25">
      <c r="B33" s="5"/>
      <c r="C33" s="5">
        <v>2004</v>
      </c>
      <c r="D33" s="5">
        <v>2005</v>
      </c>
      <c r="E33" s="6" t="s">
        <v>24</v>
      </c>
      <c r="F33" s="6" t="s">
        <v>23</v>
      </c>
      <c r="G33" s="6" t="s">
        <v>22</v>
      </c>
      <c r="H33" s="41"/>
    </row>
    <row r="34" spans="2:8" ht="25.5">
      <c r="B34" s="10" t="s">
        <v>17</v>
      </c>
      <c r="C34" s="52">
        <v>0.139</v>
      </c>
      <c r="D34" s="52">
        <v>0.184</v>
      </c>
      <c r="E34" s="53">
        <v>0.179</v>
      </c>
      <c r="F34" s="138">
        <v>0.197</v>
      </c>
      <c r="G34" s="53">
        <v>0.166</v>
      </c>
      <c r="H34" s="41"/>
    </row>
    <row r="35" spans="2:8" ht="12.75">
      <c r="B35" s="2" t="s">
        <v>28</v>
      </c>
      <c r="C35" s="52">
        <f>C7/C25</f>
        <v>0.018249994742239855</v>
      </c>
      <c r="D35" s="52">
        <f>D7/D25</f>
        <v>0.018181182698326453</v>
      </c>
      <c r="E35" s="53">
        <f>E7/E25</f>
        <v>0.008922792816892901</v>
      </c>
      <c r="F35" s="53">
        <f>F7/F25</f>
        <v>0.009419983625708696</v>
      </c>
      <c r="G35" s="53">
        <f>G7/G25</f>
        <v>0.009108806389308777</v>
      </c>
      <c r="H35" s="41"/>
    </row>
    <row r="36" spans="2:8" ht="12.75">
      <c r="B36" s="2" t="s">
        <v>29</v>
      </c>
      <c r="C36" s="52">
        <f>(C12-C7)/C25</f>
        <v>0.017857827691447416</v>
      </c>
      <c r="D36" s="52">
        <f>(D12-D7)/D25</f>
        <v>0.01857941901980908</v>
      </c>
      <c r="E36" s="53">
        <f>(E12-E7)/E25</f>
        <v>0.009165494507391075</v>
      </c>
      <c r="F36" s="53">
        <f>(F12-F7)/F25</f>
        <v>0.009579913637793475</v>
      </c>
      <c r="G36" s="53">
        <f>(G12-G7)/G25</f>
        <v>0.00834172835824702</v>
      </c>
      <c r="H36" s="41"/>
    </row>
    <row r="37" spans="2:8" ht="12.75">
      <c r="B37" s="2" t="s">
        <v>20</v>
      </c>
      <c r="C37" s="52">
        <f>-C15/C12</f>
        <v>0.527392332202693</v>
      </c>
      <c r="D37" s="52">
        <f>-D15/D12</f>
        <v>0.5243171603088626</v>
      </c>
      <c r="E37" s="53">
        <f>-E15/E12</f>
        <v>0.5163098574751028</v>
      </c>
      <c r="F37" s="53">
        <f>-F15/F12</f>
        <v>0.531802218629801</v>
      </c>
      <c r="G37" s="53">
        <f>-G15/G12</f>
        <v>0.547442383361439</v>
      </c>
      <c r="H37" s="41"/>
    </row>
    <row r="39" spans="2:6" ht="12.75">
      <c r="B39" s="15" t="s">
        <v>25</v>
      </c>
      <c r="D39" s="139"/>
      <c r="E39" s="139"/>
      <c r="F39" s="139"/>
    </row>
  </sheetData>
  <sheetProtection/>
  <printOptions/>
  <pageMargins left="0.75" right="0.75" top="1" bottom="1" header="0" footer="0"/>
  <pageSetup horizontalDpi="600" verticalDpi="600" orientation="portrait" paperSize="9" scale="79" r:id="rId2"/>
  <ignoredErrors>
    <ignoredError sqref="D26 F7:F21" unlockedFormula="1"/>
  </ignoredError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Danske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IRSampoExcelSpreedSheet.xls</dc:title>
  <dc:subject/>
  <dc:creator>Mette Ingeman Pedersen</dc:creator>
  <cp:keywords/>
  <dc:description/>
  <cp:lastModifiedBy>Jane Hedegaard Larsen</cp:lastModifiedBy>
  <cp:lastPrinted>2006-11-07T21:56:42Z</cp:lastPrinted>
  <dcterms:created xsi:type="dcterms:W3CDTF">2006-10-18T14:57:02Z</dcterms:created>
  <dcterms:modified xsi:type="dcterms:W3CDTF">2018-04-09T12:11:41Z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1921498459</vt:i4>
  </property>
  <property fmtid="{D5CDD505-2E9C-101B-9397-08002B2CF9AE}" pid="3" name="_NewReviewCycle">
    <vt:lpwstr/>
  </property>
  <property fmtid="{D5CDD505-2E9C-101B-9397-08002B2CF9AE}" pid="4" name="_EmailSubject">
    <vt:lpwstr>Copy of Red Financials for Announcement Bank Group.xls</vt:lpwstr>
  </property>
  <property fmtid="{D5CDD505-2E9C-101B-9397-08002B2CF9AE}" pid="5" name="_AuthorEmail">
    <vt:lpwstr>Monica.Tanase@morganstanley.com</vt:lpwstr>
  </property>
  <property fmtid="{D5CDD505-2E9C-101B-9397-08002B2CF9AE}" pid="6" name="_AuthorEmailDisplayName">
    <vt:lpwstr>Tanase, Monica (IBD)</vt:lpwstr>
  </property>
  <property fmtid="{D5CDD505-2E9C-101B-9397-08002B2CF9AE}" pid="7" name="_PreviousAdHocReviewCycleID">
    <vt:i4>1494400351</vt:i4>
  </property>
  <property fmtid="{D5CDD505-2E9C-101B-9397-08002B2CF9AE}" pid="8" name="_ReviewingToolsShownOnce">
    <vt:lpwstr/>
  </property>
  <property fmtid="{D5CDD505-2E9C-101B-9397-08002B2CF9AE}" pid="9" name="display_urn:schemas-microsoft-com:office:office#Editor">
    <vt:lpwstr>System Account</vt:lpwstr>
  </property>
  <property fmtid="{D5CDD505-2E9C-101B-9397-08002B2CF9AE}" pid="10" name="xd_Signature">
    <vt:lpwstr/>
  </property>
  <property fmtid="{D5CDD505-2E9C-101B-9397-08002B2CF9AE}" pid="11" name="display_urn:schemas-microsoft-com:office:office#Author">
    <vt:lpwstr>System Account</vt:lpwstr>
  </property>
  <property fmtid="{D5CDD505-2E9C-101B-9397-08002B2CF9AE}" pid="12" name="TemplateUrl">
    <vt:lpwstr/>
  </property>
  <property fmtid="{D5CDD505-2E9C-101B-9397-08002B2CF9AE}" pid="13" name="xd_ProgID">
    <vt:lpwstr/>
  </property>
  <property fmtid="{D5CDD505-2E9C-101B-9397-08002B2CF9AE}" pid="14" name="PublishingStartDate">
    <vt:lpwstr/>
  </property>
  <property fmtid="{D5CDD505-2E9C-101B-9397-08002B2CF9AE}" pid="15" name="PublishingExpirationDate">
    <vt:lpwstr/>
  </property>
  <property fmtid="{D5CDD505-2E9C-101B-9397-08002B2CF9AE}" pid="16" name="ContentTypeId">
    <vt:lpwstr>0x010100CBFBCE58335B4F49B9BC574ADDE8B8EC</vt:lpwstr>
  </property>
  <property fmtid="{D5CDD505-2E9C-101B-9397-08002B2CF9AE}" pid="17" name="_SourceUrl">
    <vt:lpwstr/>
  </property>
  <property fmtid="{D5CDD505-2E9C-101B-9397-08002B2CF9AE}" pid="18" name="_SharedFileIndex">
    <vt:lpwstr/>
  </property>
  <property fmtid="{D5CDD505-2E9C-101B-9397-08002B2CF9AE}" pid="19" name="Order">
    <vt:lpwstr>302800.000000000</vt:lpwstr>
  </property>
</Properties>
</file>